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4.3." sheetId="1" r:id="rId1"/>
    <sheet name="4.4." sheetId="2" r:id="rId2"/>
    <sheet name="публичные" sheetId="3" r:id="rId3"/>
    <sheet name="консол.бюджет" sheetId="4" r:id="rId4"/>
    <sheet name="ожид.оценка" sheetId="5" r:id="rId5"/>
    <sheet name="прогноз СЭР" sheetId="6" r:id="rId6"/>
  </sheets>
  <definedNames/>
  <calcPr fullCalcOnLoad="1" fullPrecision="0"/>
</workbook>
</file>

<file path=xl/sharedStrings.xml><?xml version="1.0" encoding="utf-8"?>
<sst xmlns="http://schemas.openxmlformats.org/spreadsheetml/2006/main" count="709" uniqueCount="407">
  <si>
    <t>тыс. рублей</t>
  </si>
  <si>
    <t>Рз, Пз</t>
  </si>
  <si>
    <t xml:space="preserve">Наименование </t>
  </si>
  <si>
    <t>2013 год</t>
  </si>
  <si>
    <t>Асигнования 2008 (169-ПК)</t>
  </si>
  <si>
    <t>Рост (снижение), %</t>
  </si>
  <si>
    <t>1</t>
  </si>
  <si>
    <t>2</t>
  </si>
  <si>
    <t>5</t>
  </si>
  <si>
    <t>7</t>
  </si>
  <si>
    <t>8</t>
  </si>
  <si>
    <t>0100</t>
  </si>
  <si>
    <t>ОБЩЕГОСУДАРСТВЕННЫЕ ВОПРОСЫ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</si>
  <si>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</si>
  <si>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</si>
  <si>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</si>
  <si>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</si>
  <si>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</si>
  <si>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0106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</si>
  <si>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</si>
  <si>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</si>
  <si>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</si>
  <si>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</si>
  <si>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</si>
  <si>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</si>
  <si>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</si>
  <si>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</si>
  <si>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</si>
  <si>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</si>
  <si>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</si>
  <si>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</si>
  <si>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</si>
  <si>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</si>
  <si>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</si>
  <si>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</si>
  <si>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0406</t>
  </si>
  <si>
    <t>Водные ресурсы</t>
  </si>
  <si>
    <t>0408</t>
  </si>
  <si>
    <t>Транспорт</t>
  </si>
  <si>
    <t>0409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</si>
  <si>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</si>
  <si>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</si>
  <si>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</si>
  <si>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</si>
  <si>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</si>
  <si>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</si>
  <si>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</si>
  <si>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</si>
  <si>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</si>
  <si>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</si>
  <si>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</si>
  <si>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</si>
  <si>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</si>
  <si>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</si>
  <si>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</si>
  <si>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</si>
  <si>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</si>
  <si>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</si>
  <si>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</si>
  <si>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</si>
  <si>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</si>
  <si>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</si>
  <si>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</si>
  <si>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</si>
  <si>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</si>
  <si>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</si>
  <si>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</si>
  <si>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</si>
  <si>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</si>
  <si>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</si>
  <si>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Другие вопросы в области культуры и кинематографии</t>
  </si>
  <si>
    <t>0900</t>
  </si>
  <si>
    <t>ЗДРАВООХРАНЕНИЕ</t>
  </si>
  <si>
    <t>0901</t>
  </si>
  <si>
    <t>Стационарная медицинская помощь</t>
  </si>
  <si>
    <t>0904</t>
  </si>
  <si>
    <t>Скорая медицинская помощь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</si>
  <si>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</si>
  <si>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</si>
  <si>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</si>
  <si>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</si>
  <si>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</si>
  <si>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</si>
  <si>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</si>
  <si>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</si>
  <si>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</si>
  <si>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</si>
  <si>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</si>
  <si>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</si>
  <si>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</si>
  <si>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</si>
  <si>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</si>
  <si>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</si>
  <si>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</si>
  <si>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</si>
  <si>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</si>
  <si>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</si>
  <si>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</si>
  <si>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</si>
  <si>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ГОС.И МУНИЦИПАЛЬНОГО ДОЛГА</t>
  </si>
  <si>
    <t>1301</t>
  </si>
  <si>
    <t>Обслуживание внутреннего гос. и муниципального долга</t>
  </si>
  <si>
    <t>1400</t>
  </si>
  <si>
    <t>МЕЖБЮДЖЕТНЫЕ ТРАНСФЕРТЫ</t>
  </si>
  <si>
    <t>1401</t>
  </si>
  <si>
    <t>Дотации на выравнивание бюджетной обеспеченности субъектов РФ и муниципальных образований</t>
  </si>
  <si>
    <t>1402</t>
  </si>
  <si>
    <t>Иные дотации</t>
  </si>
  <si>
    <t>1403</t>
  </si>
  <si>
    <t>Прочие межбюджетные трансферты</t>
  </si>
  <si>
    <t>9900</t>
  </si>
  <si>
    <t/>
  </si>
  <si>
    <t>9999</t>
  </si>
  <si>
    <t>Условно утвержденные расходы</t>
  </si>
  <si>
    <t>Изменения 2009</t>
  </si>
  <si>
    <t>Изменения 2010</t>
  </si>
  <si>
    <t xml:space="preserve">Ассигнования 2011 в соответствии с законопроектом 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</si>
  <si>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</si>
  <si>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 надзора</t>
  </si>
  <si>
    <t>КУЛЬТУРА И КИНЕМАТОГРАФИЯ</t>
  </si>
  <si>
    <t>Охрана семьи детства</t>
  </si>
  <si>
    <t>безвозмездные</t>
  </si>
  <si>
    <t>Всего расходов</t>
  </si>
  <si>
    <t>Расходы по решению ЗС</t>
  </si>
  <si>
    <t>Разница</t>
  </si>
  <si>
    <t xml:space="preserve">Код </t>
  </si>
  <si>
    <t>Наименование кода дохода бюджета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</si>
  <si>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</si>
  <si>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</si>
  <si>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</si>
  <si>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</si>
  <si>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</si>
  <si>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</si>
  <si>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</si>
  <si>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</si>
  <si>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</si>
  <si>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</si>
  <si>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1 01 02020 01 0000 110</t>
  </si>
  <si>
    <t>Налог на доходы физических лиц с доходов, облагаемых по налоговой ставке, установленной пунктом 1  статьи 224 Налогового кодекса Российской Федерации</t>
  </si>
  <si>
    <t>1 01 02021 01 0000 110</t>
  </si>
  <si>
    <t>Налог на доходы физических лиц с доходов, облагаемых по налоговой ставке, установленной пунктом 1 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</si>
  <si>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</si>
  <si>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</si>
  <si>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</si>
  <si>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</si>
  <si>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</si>
  <si>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</si>
  <si>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</si>
  <si>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</si>
  <si>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</si>
  <si>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</si>
  <si>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</si>
  <si>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</si>
  <si>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</si>
  <si>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</si>
  <si>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1 06 02000 02 0000 110</t>
  </si>
  <si>
    <t>Налог на имущество</t>
  </si>
  <si>
    <t>1 06 02010 02 0000 110</t>
  </si>
  <si>
    <t>Налог на имущество организаций по имуществу, не входящему в Единую систему газоснабжения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</si>
  <si>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</si>
  <si>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</si>
  <si>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</si>
  <si>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</si>
  <si>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</si>
  <si>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</si>
  <si>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 xml:space="preserve">1 08 00000 00 0000 000 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</si>
  <si>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</si>
  <si>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</si>
  <si>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</si>
  <si>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</si>
  <si>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</si>
  <si>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</si>
  <si>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</si>
  <si>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</si>
  <si>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</si>
  <si>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</si>
  <si>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</si>
  <si>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</si>
  <si>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 И МУНИЦИПАЛЬНОЙ СОБСТВЕННОСТИ</t>
  </si>
  <si>
    <t xml:space="preserve">1 11 05000 00 0000 120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</si>
  <si>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</si>
  <si>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163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</si>
  <si>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</si>
  <si>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</si>
  <si>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</si>
  <si>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</si>
  <si>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</si>
  <si>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</si>
  <si>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</si>
  <si>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</si>
  <si>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 xml:space="preserve">1 11 07000 00 0000 120 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</si>
  <si>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</si>
  <si>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</si>
  <si>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</si>
  <si>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</si>
  <si>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</si>
  <si>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</si>
  <si>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</si>
  <si>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</si>
  <si>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</si>
  <si>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</si>
  <si>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1 13 03000 00 0000 130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</si>
  <si>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</si>
  <si>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</si>
  <si>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114 00000 00 0000 000</t>
  </si>
  <si>
    <t>ДОХОДЫ ОТ ПРОДАЖИ МАТЕРИАЛЬНЫХ И НЕМАТЕРИАЛЬНЫХ  АКТИВОВ</t>
  </si>
  <si>
    <t>114 02000 00 0000 000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</si>
  <si>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</si>
  <si>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1 14 02030 05 0000 410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</si>
  <si>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</si>
  <si>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</si>
  <si>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</si>
  <si>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</si>
  <si>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 собственности (за исключение земельных участков автономных учреждений)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</si>
  <si>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</si>
  <si>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поселений)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</si>
  <si>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</si>
  <si>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</si>
  <si>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</si>
  <si>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</si>
  <si>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</si>
  <si>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</si>
  <si>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</si>
  <si>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</si>
  <si>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</si>
  <si>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</si>
  <si>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</si>
  <si>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</si>
  <si>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</si>
  <si>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</si>
  <si>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</si>
  <si>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</si>
  <si>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1 16 25000 01 0000 140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</si>
  <si>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</si>
  <si>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</si>
  <si>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</si>
  <si>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1 16 25050 01 0000 140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</si>
  <si>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</si>
  <si>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</si>
  <si>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</si>
  <si>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</si>
  <si>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</si>
  <si>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</si>
  <si>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</si>
  <si>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</si>
  <si>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</si>
  <si>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</si>
  <si>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</si>
  <si>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</si>
  <si>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</si>
  <si>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</si>
  <si>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1 17 05000 00 0000 180</t>
  </si>
  <si>
    <t xml:space="preserve">Прочие неналоговые доходы </t>
  </si>
  <si>
    <t>1 17 05050 05 0000 180</t>
  </si>
  <si>
    <t xml:space="preserve">Прочие неналоговые доходы бюджетов муниципальных районов </t>
  </si>
  <si>
    <t>(тыс.руб.)</t>
  </si>
  <si>
    <t>№</t>
  </si>
  <si>
    <t>2013 г.</t>
  </si>
  <si>
    <t>доходы</t>
  </si>
  <si>
    <t>расходы</t>
  </si>
  <si>
    <t>источники</t>
  </si>
  <si>
    <t>консолидированный бюджет района</t>
  </si>
  <si>
    <t>бюджет муниципального района</t>
  </si>
  <si>
    <t>бюджеты поселений</t>
  </si>
  <si>
    <t>собств.доходы</t>
  </si>
  <si>
    <t>средства из края</t>
  </si>
  <si>
    <t>дотация из района</t>
  </si>
  <si>
    <t>наименование расходов</t>
  </si>
  <si>
    <t>наименование НПА</t>
  </si>
  <si>
    <t>Пенсии за выслугу лет</t>
  </si>
  <si>
    <t>решение Земского Собрания от 26.04.2007 № 502 "Об утверждении Положений по установлению, выплате и перерасчету пенсии за выслугу лет лицам, замещавшим должности муниципальной службы и лицам, замещавшим выборные муниципальные должности в Пермском муниципальном районе"</t>
  </si>
  <si>
    <t>Ежемесячные денежные выплаты почетным гражданам Пермского муниципального района</t>
  </si>
  <si>
    <t>решение Земского Собрания от 21.10.1997 № 70 "Об утверждении почетного звания "Почетный гражданин муниципального образования Пермский район и Положения о почетном звании"</t>
  </si>
  <si>
    <t>Итого</t>
  </si>
  <si>
    <t>2014 год</t>
  </si>
  <si>
    <t>Асигнования на 2013 год (первоначальный)*</t>
  </si>
  <si>
    <t>Изменение ассигнований на 2013 год</t>
  </si>
  <si>
    <t>0105</t>
  </si>
  <si>
    <t>Судебная система</t>
  </si>
  <si>
    <t>Защита населения и территории от чрезвычайных ситуаций природного и техногенного характера, гражданская оборона</t>
  </si>
  <si>
    <t>2014 г.</t>
  </si>
  <si>
    <t>Оценка ожидаемого исполнения бюджета Пермского муниципального района  на 2011 год</t>
  </si>
  <si>
    <t>План за 9 мес 2011г</t>
  </si>
  <si>
    <t>Годовой план на 2011г тыс.руб.</t>
  </si>
  <si>
    <t xml:space="preserve">Исполнение на 01.10.11г </t>
  </si>
  <si>
    <t xml:space="preserve">Исполнение на 17.10.11г </t>
  </si>
  <si>
    <t>% исполнения от плана года</t>
  </si>
  <si>
    <t>План  2010г</t>
  </si>
  <si>
    <t>Исполнение на 17.10.10 г</t>
  </si>
  <si>
    <t>% исполнения 2010г.</t>
  </si>
  <si>
    <t>Ожидаемое исполнение  2011г тыс.руб.</t>
  </si>
  <si>
    <t>Отклонение тыс.руб.</t>
  </si>
  <si>
    <t>Отклонение %</t>
  </si>
  <si>
    <t>1 05 02010 02 0000 110</t>
  </si>
  <si>
    <t>Единый налог на вмененный доход для отдельных видов деятельности (сумма платежа)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</si>
  <si>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</si>
  <si>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 (сумма платежа)</t>
  </si>
  <si>
    <t>1 06 02020 02 0000 110</t>
  </si>
  <si>
    <t>Налог на имущество организаций по имуществу,  входящих в Единую систему газоснабжения</t>
  </si>
  <si>
    <t>1 09 00000 00 0000 000</t>
  </si>
  <si>
    <t>Задолженность и перерасчеты по отмененным налогам,сборам и иным платежам</t>
  </si>
  <si>
    <t xml:space="preserve">1 11 01000 00 0000 120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</si>
  <si>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</si>
  <si>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1 11 03000 00 0000 120  </t>
  </si>
  <si>
    <t>Проценты, полученные от предоставления бюджетных кредитов внутри страны</t>
  </si>
  <si>
    <t>1 11 07015 05 0000 120</t>
  </si>
  <si>
    <t>1 13 00000 00 0000 000</t>
  </si>
  <si>
    <t>Прочие доходы от оказания плтных услуг и компенсации затрат государства</t>
  </si>
  <si>
    <t xml:space="preserve">1 13 03050 05 0000 130 </t>
  </si>
  <si>
    <t>114 01000 00 0000 000</t>
  </si>
  <si>
    <t>Доходы от продажи квартир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</si>
  <si>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</si>
  <si>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 (сумма платежа)</t>
  </si>
  <si>
    <t>Денежные взыскания (штрафы) за нарушение законодательства в области охраны окружающей среды</t>
  </si>
  <si>
    <t>1 16 32000 01 0000 140</t>
  </si>
  <si>
    <t>Возмещение сумм, израсходованных незаконно или не по целевому назначению, а также доходов, полученных от их использования</t>
  </si>
  <si>
    <t>1 16 33000 01 0000 140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</si>
  <si>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</si>
  <si>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0309</t>
  </si>
  <si>
    <t>сумма</t>
  </si>
  <si>
    <t>структура</t>
  </si>
  <si>
    <t>6</t>
  </si>
  <si>
    <t>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</si>
  <si>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</si>
  <si>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</si>
  <si>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</si>
  <si>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КУЛЬТУРА И  КИНЕМАТОГРАФИЯ</t>
  </si>
  <si>
    <t>Охрана семьи и детства</t>
  </si>
  <si>
    <t>ИТОГО  расходы</t>
  </si>
  <si>
    <t>Ассигнования на 2013 год в соответствии с проектом решения ЗС</t>
  </si>
  <si>
    <t>Асигнования на 2014 год (первоначальный)*</t>
  </si>
  <si>
    <t>Изменение ассигнований на 2014 год</t>
  </si>
  <si>
    <t xml:space="preserve">Ассигнования на 2014 год в соответствии с проектом решения ЗС  </t>
  </si>
  <si>
    <t>Пособия семьям, имеющим детей в возрасте от 3 до 5 лет, не посещающих муниципальные дошкольные учреждения</t>
  </si>
  <si>
    <t>2015 г.</t>
  </si>
  <si>
    <t>Перечень публичных нормативных обязательств на 2013 - 2015 гг., тыс.руб.</t>
  </si>
  <si>
    <t>Прогноз основных характеристик консолидированного бюджета Пермского муниципального района                                                     на 2013 - 2015 годы</t>
  </si>
  <si>
    <t>проект решения Земского Собрания "О внесении изменений в решение Земского Собрания от 13.02.2009 № 766 "О предоставлении пособий семьям, имеющим детей в возрасте от 1,5 до 5 лет, не посещающих дошкольные образовательные учреждения ("Мамин выбор")""</t>
  </si>
  <si>
    <t>суммы на взаимоисключение</t>
  </si>
  <si>
    <t>2015 год</t>
  </si>
  <si>
    <t xml:space="preserve">Структура районного бюджета на 2013 год и плановый период 2014 и 2015 годов </t>
  </si>
  <si>
    <t xml:space="preserve">Уточненный прогноз социально-экономического развития на 2012 г. и на период до 2015 года </t>
  </si>
  <si>
    <t xml:space="preserve"> по Пермскому муниципальному району</t>
  </si>
  <si>
    <t>Единицы</t>
  </si>
  <si>
    <t>2010 год</t>
  </si>
  <si>
    <t>2011 год</t>
  </si>
  <si>
    <t>2012 год</t>
  </si>
  <si>
    <t>ПРОГНОЗ</t>
  </si>
  <si>
    <t>Форма 1</t>
  </si>
  <si>
    <t>измерения</t>
  </si>
  <si>
    <t>отчет</t>
  </si>
  <si>
    <t>Янв-март</t>
  </si>
  <si>
    <t>оценка</t>
  </si>
  <si>
    <t>года</t>
  </si>
  <si>
    <t>1 вариант (базовый)</t>
  </si>
  <si>
    <t>2 вариант (оптимист.)</t>
  </si>
  <si>
    <t>Численность постоянного населения (в среднегодовом исчислении) всего по району</t>
  </si>
  <si>
    <t>человек</t>
  </si>
  <si>
    <t>в том числе в разрезе поселений</t>
  </si>
  <si>
    <t>Бершетское сельское поселение</t>
  </si>
  <si>
    <t>Гамовское сельское поселение</t>
  </si>
  <si>
    <t>Двуреченское сельское поселение</t>
  </si>
  <si>
    <t>Заболотское сельское поселение</t>
  </si>
  <si>
    <t>Кондратовское сельское поселение</t>
  </si>
  <si>
    <t>Кояновское сельское поселение</t>
  </si>
  <si>
    <t>Кукуштанское сельское поселение</t>
  </si>
  <si>
    <t>Култаевское сельское поселение</t>
  </si>
  <si>
    <t>Лобановское сельское поселение</t>
  </si>
  <si>
    <t>Мулянское сельское поселение</t>
  </si>
  <si>
    <t>Пальниковское сельское поселение</t>
  </si>
  <si>
    <t>Платошинское сельское поселение</t>
  </si>
  <si>
    <t>Савинское сельское поселение</t>
  </si>
  <si>
    <t>Соколовское сельское поселение</t>
  </si>
  <si>
    <t>Сылвенское сельское поселение</t>
  </si>
  <si>
    <t>Усть - Качкинское сельское поселение</t>
  </si>
  <si>
    <t>Фроловское сельское поселение</t>
  </si>
  <si>
    <t>Хохловское сельское поселение</t>
  </si>
  <si>
    <t>Юго-Камское сельское поселение</t>
  </si>
  <si>
    <t>Юговское сельское поселение</t>
  </si>
  <si>
    <t>Численность детей до 18 лет всего по району</t>
  </si>
  <si>
    <t>Среднесписочная численность работающих (в среднегодовом исчислении) - всего по району</t>
  </si>
  <si>
    <t>Фонд заработной платы работников - всего по району</t>
  </si>
  <si>
    <t>млн.руб.</t>
  </si>
  <si>
    <t>Производство товаров и услуг</t>
  </si>
  <si>
    <t>Выручка предприятий и организаций от продажи товаров, продукции, работ, услуг (за минусом НДС, акцизов и аналогичных обязательных платежей), в действующих ценах каждого года</t>
  </si>
  <si>
    <t>млн. руб.</t>
  </si>
  <si>
    <t>Производство основных видов продукции в натуральном выражении</t>
  </si>
  <si>
    <t>в соответ. ед. измер.</t>
  </si>
  <si>
    <t>Зерно</t>
  </si>
  <si>
    <t>тонн</t>
  </si>
  <si>
    <t>52.21.10.120 Свежие овощи и картофель</t>
  </si>
  <si>
    <t>51.33.11.001_168 Молоко жидкое, тонна</t>
  </si>
  <si>
    <t>Мясо скота и птицы (в живом весе)</t>
  </si>
  <si>
    <t>01.24.20.110 Яйца куриные</t>
  </si>
  <si>
    <t>млн.шт.</t>
  </si>
  <si>
    <t>Инвестиции</t>
  </si>
  <si>
    <t>Объем инвестиций в основной капитал за счет всех источников финансирования в действующих ценах каждого года</t>
  </si>
  <si>
    <t>в сопоставимых ценах к предыдущему году</t>
  </si>
  <si>
    <t>%</t>
  </si>
  <si>
    <t>Объемы инвестиций за счет источников:</t>
  </si>
  <si>
    <t>X</t>
  </si>
  <si>
    <t>прибыли</t>
  </si>
  <si>
    <t>амортизации</t>
  </si>
  <si>
    <t>кредитов банков</t>
  </si>
  <si>
    <t>бюджетных средств</t>
  </si>
  <si>
    <t>Ввод в действие основных фондов</t>
  </si>
  <si>
    <t>Изменения бюджета Пермского муниципального района на 2013 - 2015 гг. по отношению к показателям бюджета, утвержденным в предыдущем бюджетном цикле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</si>
</sst>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#,##0.0"/>
    <numFmt numFmtId="182" formatCode="0.000"/>
    <numFmt numFmtId="183" formatCode="0.0"/>
    <numFmt numFmtId="184" formatCode="?"/>
    <numFmt numFmtId="185" formatCode="_(* #,##0.0_);_(* \(#,##0.0\);_(* &quot;-&quot;??_);_(@_)"/>
  </numFmts>
  <fonts count="33">
    <font>
      <sz val="10"/>
      <name val="Arial"/>
      <family val="0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name val="Arial Narrow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4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3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180" fontId="2" fillId="0" borderId="3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center" wrapText="1"/>
    </xf>
    <xf numFmtId="180" fontId="3" fillId="0" borderId="5" xfId="0" applyNumberFormat="1" applyFont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180" fontId="3" fillId="0" borderId="7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180" fontId="2" fillId="0" borderId="0" xfId="0" applyNumberFormat="1" applyFont="1" applyBorder="1" applyAlignment="1">
      <alignment horizontal="right"/>
    </xf>
    <xf numFmtId="179" fontId="2" fillId="0" borderId="0" xfId="19" applyFont="1" applyBorder="1" applyAlignment="1">
      <alignment horizontal="center"/>
    </xf>
    <xf numFmtId="181" fontId="2" fillId="0" borderId="0" xfId="0" applyNumberFormat="1" applyFont="1" applyBorder="1" applyAlignment="1">
      <alignment horizontal="right"/>
    </xf>
    <xf numFmtId="18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center" wrapText="1"/>
    </xf>
    <xf numFmtId="180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 wrapText="1"/>
    </xf>
    <xf numFmtId="179" fontId="2" fillId="0" borderId="3" xfId="19" applyFont="1" applyBorder="1" applyAlignment="1">
      <alignment horizontal="center" vertical="center" wrapText="1"/>
    </xf>
    <xf numFmtId="179" fontId="2" fillId="0" borderId="14" xfId="19" applyFont="1" applyBorder="1" applyAlignment="1">
      <alignment horizontal="center" vertical="center" wrapText="1"/>
    </xf>
    <xf numFmtId="181" fontId="2" fillId="0" borderId="15" xfId="0" applyNumberFormat="1" applyFont="1" applyBorder="1" applyAlignment="1">
      <alignment horizontal="right" vertical="center" wrapText="1"/>
    </xf>
    <xf numFmtId="181" fontId="2" fillId="0" borderId="3" xfId="0" applyNumberFormat="1" applyFont="1" applyBorder="1" applyAlignment="1">
      <alignment horizontal="right" vertical="center" wrapText="1"/>
    </xf>
    <xf numFmtId="179" fontId="3" fillId="0" borderId="5" xfId="19" applyFont="1" applyBorder="1" applyAlignment="1">
      <alignment horizontal="center" vertical="center" wrapText="1"/>
    </xf>
    <xf numFmtId="179" fontId="3" fillId="0" borderId="16" xfId="19" applyFont="1" applyBorder="1" applyAlignment="1">
      <alignment horizontal="center" vertical="center" wrapText="1"/>
    </xf>
    <xf numFmtId="181" fontId="3" fillId="0" borderId="17" xfId="0" applyNumberFormat="1" applyFont="1" applyBorder="1" applyAlignment="1">
      <alignment horizontal="right" vertical="center" wrapText="1"/>
    </xf>
    <xf numFmtId="181" fontId="3" fillId="0" borderId="5" xfId="0" applyNumberFormat="1" applyFont="1" applyBorder="1" applyAlignment="1">
      <alignment horizontal="right" vertical="center" wrapText="1"/>
    </xf>
    <xf numFmtId="179" fontId="2" fillId="0" borderId="15" xfId="19" applyFont="1" applyBorder="1" applyAlignment="1">
      <alignment horizontal="center" vertical="center" wrapText="1"/>
    </xf>
    <xf numFmtId="181" fontId="3" fillId="0" borderId="18" xfId="0" applyNumberFormat="1" applyFont="1" applyBorder="1" applyAlignment="1">
      <alignment horizontal="right" vertical="center" wrapText="1"/>
    </xf>
    <xf numFmtId="181" fontId="3" fillId="0" borderId="7" xfId="0" applyNumberFormat="1" applyFont="1" applyBorder="1" applyAlignment="1">
      <alignment horizontal="right" vertical="center" wrapText="1"/>
    </xf>
    <xf numFmtId="179" fontId="3" fillId="0" borderId="19" xfId="19" applyFont="1" applyBorder="1" applyAlignment="1">
      <alignment horizontal="center" vertical="center" wrapText="1"/>
    </xf>
    <xf numFmtId="179" fontId="3" fillId="0" borderId="20" xfId="19" applyFont="1" applyBorder="1" applyAlignment="1">
      <alignment horizontal="center" vertical="center" wrapText="1"/>
    </xf>
    <xf numFmtId="180" fontId="2" fillId="0" borderId="15" xfId="0" applyNumberFormat="1" applyFont="1" applyBorder="1" applyAlignment="1">
      <alignment horizontal="right" vertical="center" wrapText="1"/>
    </xf>
    <xf numFmtId="179" fontId="3" fillId="0" borderId="7" xfId="19" applyFont="1" applyBorder="1" applyAlignment="1">
      <alignment horizontal="center" vertical="center" wrapText="1"/>
    </xf>
    <xf numFmtId="179" fontId="3" fillId="0" borderId="21" xfId="19" applyFont="1" applyBorder="1" applyAlignment="1">
      <alignment horizontal="center" vertical="center" wrapText="1"/>
    </xf>
    <xf numFmtId="179" fontId="3" fillId="0" borderId="22" xfId="19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left" vertical="center" wrapText="1"/>
    </xf>
    <xf numFmtId="180" fontId="3" fillId="0" borderId="24" xfId="0" applyNumberFormat="1" applyFont="1" applyBorder="1" applyAlignment="1">
      <alignment horizontal="right" vertical="center" wrapText="1"/>
    </xf>
    <xf numFmtId="179" fontId="3" fillId="0" borderId="24" xfId="19" applyFont="1" applyBorder="1" applyAlignment="1">
      <alignment horizontal="center" vertical="center" wrapText="1"/>
    </xf>
    <xf numFmtId="179" fontId="3" fillId="0" borderId="25" xfId="19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180" fontId="3" fillId="0" borderId="27" xfId="0" applyNumberFormat="1" applyFont="1" applyBorder="1" applyAlignment="1">
      <alignment horizontal="right" vertical="center" wrapText="1"/>
    </xf>
    <xf numFmtId="179" fontId="3" fillId="0" borderId="27" xfId="19" applyFont="1" applyBorder="1" applyAlignment="1">
      <alignment horizontal="center" vertical="center" wrapText="1"/>
    </xf>
    <xf numFmtId="179" fontId="3" fillId="0" borderId="28" xfId="19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81" fontId="2" fillId="0" borderId="18" xfId="0" applyNumberFormat="1" applyFont="1" applyBorder="1" applyAlignment="1">
      <alignment horizontal="right" vertical="center" wrapText="1"/>
    </xf>
    <xf numFmtId="181" fontId="2" fillId="0" borderId="7" xfId="0" applyNumberFormat="1" applyFont="1" applyBorder="1" applyAlignment="1">
      <alignment horizontal="right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180" fontId="3" fillId="0" borderId="31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180" fontId="2" fillId="0" borderId="3" xfId="0" applyNumberFormat="1" applyFont="1" applyBorder="1" applyAlignment="1">
      <alignment horizontal="right"/>
    </xf>
    <xf numFmtId="179" fontId="2" fillId="0" borderId="3" xfId="19" applyFont="1" applyBorder="1" applyAlignment="1">
      <alignment horizontal="right"/>
    </xf>
    <xf numFmtId="179" fontId="2" fillId="0" borderId="14" xfId="19" applyFont="1" applyBorder="1" applyAlignment="1">
      <alignment horizontal="right"/>
    </xf>
    <xf numFmtId="181" fontId="2" fillId="0" borderId="15" xfId="0" applyNumberFormat="1" applyFont="1" applyBorder="1" applyAlignment="1">
      <alignment horizontal="right"/>
    </xf>
    <xf numFmtId="181" fontId="2" fillId="0" borderId="3" xfId="0" applyNumberFormat="1" applyFont="1" applyBorder="1" applyAlignment="1">
      <alignment horizontal="right"/>
    </xf>
    <xf numFmtId="180" fontId="3" fillId="0" borderId="0" xfId="0" applyNumberFormat="1" applyFont="1" applyAlignment="1">
      <alignment horizontal="center"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5" xfId="17" applyNumberFormat="1" applyFont="1" applyFill="1" applyBorder="1" applyAlignment="1">
      <alignment horizontal="left" vertical="center" wrapText="1"/>
      <protection/>
    </xf>
    <xf numFmtId="49" fontId="7" fillId="0" borderId="5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left" vertical="top"/>
    </xf>
    <xf numFmtId="49" fontId="8" fillId="0" borderId="5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left" vertical="top"/>
    </xf>
    <xf numFmtId="49" fontId="7" fillId="0" borderId="5" xfId="0" applyNumberFormat="1" applyFont="1" applyFill="1" applyBorder="1" applyAlignment="1">
      <alignment horizontal="center" vertical="justify"/>
    </xf>
    <xf numFmtId="0" fontId="7" fillId="0" borderId="0" xfId="0" applyFont="1" applyFill="1" applyAlignment="1">
      <alignment horizontal="left" vertical="justify"/>
    </xf>
    <xf numFmtId="49" fontId="8" fillId="0" borderId="5" xfId="0" applyNumberFormat="1" applyFont="1" applyFill="1" applyBorder="1" applyAlignment="1">
      <alignment horizontal="center" vertical="justify"/>
    </xf>
    <xf numFmtId="0" fontId="8" fillId="0" borderId="0" xfId="0" applyFont="1" applyFill="1" applyAlignment="1">
      <alignment horizontal="left" vertical="justify"/>
    </xf>
    <xf numFmtId="0" fontId="7" fillId="0" borderId="5" xfId="0" applyFont="1" applyFill="1" applyBorder="1" applyAlignment="1">
      <alignment vertical="center"/>
    </xf>
    <xf numFmtId="182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85" fontId="6" fillId="0" borderId="5" xfId="19" applyNumberFormat="1" applyFont="1" applyBorder="1" applyAlignment="1">
      <alignment horizontal="center" vertical="center" wrapText="1"/>
    </xf>
    <xf numFmtId="185" fontId="10" fillId="0" borderId="5" xfId="19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79" fontId="7" fillId="0" borderId="5" xfId="19" applyFont="1" applyFill="1" applyBorder="1" applyAlignment="1">
      <alignment horizontal="center"/>
    </xf>
    <xf numFmtId="179" fontId="7" fillId="0" borderId="5" xfId="19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6" fillId="0" borderId="5" xfId="0" applyFont="1" applyBorder="1" applyAlignment="1">
      <alignment wrapText="1"/>
    </xf>
    <xf numFmtId="0" fontId="6" fillId="0" borderId="0" xfId="0" applyFont="1" applyAlignment="1">
      <alignment/>
    </xf>
    <xf numFmtId="0" fontId="3" fillId="0" borderId="5" xfId="0" applyFont="1" applyFill="1" applyBorder="1" applyAlignment="1">
      <alignment horizontal="justify" vertical="top" wrapText="1"/>
    </xf>
    <xf numFmtId="183" fontId="10" fillId="0" borderId="5" xfId="0" applyNumberFormat="1" applyFont="1" applyBorder="1" applyAlignment="1">
      <alignment horizontal="center" vertical="center"/>
    </xf>
    <xf numFmtId="180" fontId="5" fillId="2" borderId="9" xfId="0" applyNumberFormat="1" applyFont="1" applyFill="1" applyBorder="1" applyAlignment="1">
      <alignment horizontal="center" vertical="center" wrapText="1"/>
    </xf>
    <xf numFmtId="179" fontId="7" fillId="0" borderId="0" xfId="19" applyFont="1" applyFill="1" applyAlignment="1">
      <alignment/>
    </xf>
    <xf numFmtId="2" fontId="7" fillId="0" borderId="0" xfId="19" applyNumberFormat="1" applyFont="1" applyFill="1" applyAlignment="1">
      <alignment/>
    </xf>
    <xf numFmtId="185" fontId="7" fillId="0" borderId="0" xfId="19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185" fontId="7" fillId="0" borderId="0" xfId="0" applyNumberFormat="1" applyFont="1" applyFill="1" applyAlignment="1">
      <alignment/>
    </xf>
    <xf numFmtId="182" fontId="7" fillId="0" borderId="19" xfId="17" applyNumberFormat="1" applyFont="1" applyFill="1" applyBorder="1" applyAlignment="1">
      <alignment horizontal="center" vertical="top" wrapText="1"/>
      <protection/>
    </xf>
    <xf numFmtId="0" fontId="7" fillId="0" borderId="19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top" wrapText="1"/>
    </xf>
    <xf numFmtId="185" fontId="7" fillId="0" borderId="5" xfId="0" applyNumberFormat="1" applyFont="1" applyFill="1" applyBorder="1" applyAlignment="1">
      <alignment horizontal="center" vertical="top" wrapText="1"/>
    </xf>
    <xf numFmtId="179" fontId="8" fillId="0" borderId="5" xfId="19" applyFont="1" applyFill="1" applyBorder="1" applyAlignment="1">
      <alignment vertical="center" wrapText="1"/>
    </xf>
    <xf numFmtId="185" fontId="8" fillId="0" borderId="5" xfId="19" applyNumberFormat="1" applyFont="1" applyFill="1" applyBorder="1" applyAlignment="1">
      <alignment horizontal="right" vertical="center" wrapText="1"/>
    </xf>
    <xf numFmtId="185" fontId="8" fillId="0" borderId="5" xfId="0" applyNumberFormat="1" applyFont="1" applyFill="1" applyBorder="1" applyAlignment="1">
      <alignment horizontal="right" vertical="center"/>
    </xf>
    <xf numFmtId="49" fontId="7" fillId="0" borderId="5" xfId="17" applyNumberFormat="1" applyFont="1" applyFill="1" applyBorder="1" applyAlignment="1">
      <alignment horizontal="left" vertical="center" wrapText="1"/>
      <protection/>
    </xf>
    <xf numFmtId="179" fontId="7" fillId="0" borderId="5" xfId="19" applyFont="1" applyFill="1" applyBorder="1" applyAlignment="1">
      <alignment vertical="center" wrapText="1"/>
    </xf>
    <xf numFmtId="185" fontId="7" fillId="0" borderId="5" xfId="19" applyNumberFormat="1" applyFont="1" applyFill="1" applyBorder="1" applyAlignment="1">
      <alignment horizontal="right" vertical="center" wrapText="1"/>
    </xf>
    <xf numFmtId="185" fontId="7" fillId="0" borderId="5" xfId="0" applyNumberFormat="1" applyFont="1" applyFill="1" applyBorder="1" applyAlignment="1">
      <alignment horizontal="right" vertical="center"/>
    </xf>
    <xf numFmtId="49" fontId="7" fillId="0" borderId="5" xfId="17" applyNumberFormat="1" applyFont="1" applyFill="1" applyBorder="1" applyAlignment="1">
      <alignment horizontal="left" vertical="top" wrapText="1"/>
      <protection/>
    </xf>
    <xf numFmtId="49" fontId="8" fillId="0" borderId="5" xfId="17" applyNumberFormat="1" applyFont="1" applyFill="1" applyBorder="1" applyAlignment="1">
      <alignment horizontal="left" vertical="top" wrapText="1"/>
      <protection/>
    </xf>
    <xf numFmtId="49" fontId="7" fillId="0" borderId="5" xfId="0" applyNumberFormat="1" applyFont="1" applyBorder="1" applyAlignment="1">
      <alignment horizontal="left" vertical="center" wrapText="1"/>
    </xf>
    <xf numFmtId="185" fontId="8" fillId="0" borderId="5" xfId="0" applyNumberFormat="1" applyFont="1" applyFill="1" applyBorder="1" applyAlignment="1">
      <alignment vertical="center"/>
    </xf>
    <xf numFmtId="4" fontId="7" fillId="0" borderId="5" xfId="19" applyNumberFormat="1" applyFont="1" applyFill="1" applyBorder="1" applyAlignment="1">
      <alignment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5" xfId="17" applyNumberFormat="1" applyFont="1" applyFill="1" applyBorder="1" applyAlignment="1">
      <alignment horizontal="left" vertical="justify" wrapText="1"/>
      <protection/>
    </xf>
    <xf numFmtId="0" fontId="7" fillId="0" borderId="5" xfId="19" applyNumberFormat="1" applyFont="1" applyFill="1" applyBorder="1" applyAlignment="1">
      <alignment vertical="center" wrapText="1"/>
    </xf>
    <xf numFmtId="179" fontId="7" fillId="0" borderId="5" xfId="19" applyFont="1" applyFill="1" applyBorder="1" applyAlignment="1">
      <alignment vertical="center"/>
    </xf>
    <xf numFmtId="185" fontId="7" fillId="0" borderId="5" xfId="19" applyNumberFormat="1" applyFont="1" applyFill="1" applyBorder="1" applyAlignment="1">
      <alignment horizontal="right" vertical="center"/>
    </xf>
    <xf numFmtId="49" fontId="8" fillId="0" borderId="5" xfId="17" applyNumberFormat="1" applyFont="1" applyFill="1" applyBorder="1" applyAlignment="1">
      <alignment horizontal="left" vertical="justify" wrapText="1"/>
      <protection/>
    </xf>
    <xf numFmtId="2" fontId="7" fillId="0" borderId="5" xfId="0" applyNumberFormat="1" applyFont="1" applyFill="1" applyBorder="1" applyAlignment="1">
      <alignment vertical="center"/>
    </xf>
    <xf numFmtId="185" fontId="7" fillId="0" borderId="5" xfId="0" applyNumberFormat="1" applyFont="1" applyFill="1" applyBorder="1" applyAlignment="1">
      <alignment/>
    </xf>
    <xf numFmtId="184" fontId="7" fillId="0" borderId="5" xfId="17" applyNumberFormat="1" applyFont="1" applyFill="1" applyBorder="1" applyAlignment="1">
      <alignment horizontal="left" vertical="top" wrapText="1"/>
      <protection/>
    </xf>
    <xf numFmtId="184" fontId="8" fillId="0" borderId="5" xfId="17" applyNumberFormat="1" applyFont="1" applyFill="1" applyBorder="1" applyAlignment="1">
      <alignment horizontal="left" vertical="top" wrapText="1"/>
      <protection/>
    </xf>
    <xf numFmtId="2" fontId="7" fillId="0" borderId="5" xfId="17" applyNumberFormat="1" applyFont="1" applyFill="1" applyBorder="1" applyAlignment="1">
      <alignment horizontal="left" vertical="top" wrapText="1"/>
      <protection/>
    </xf>
    <xf numFmtId="0" fontId="7" fillId="0" borderId="0" xfId="0" applyFont="1" applyFill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18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/>
    </xf>
    <xf numFmtId="181" fontId="2" fillId="0" borderId="3" xfId="19" applyNumberFormat="1" applyFont="1" applyBorder="1" applyAlignment="1">
      <alignment horizontal="center" vertical="center" wrapText="1"/>
    </xf>
    <xf numFmtId="4" fontId="2" fillId="0" borderId="3" xfId="19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180" fontId="3" fillId="0" borderId="21" xfId="0" applyNumberFormat="1" applyFont="1" applyBorder="1" applyAlignment="1">
      <alignment horizontal="right" vertical="center" wrapText="1"/>
    </xf>
    <xf numFmtId="181" fontId="3" fillId="0" borderId="21" xfId="19" applyNumberFormat="1" applyFont="1" applyBorder="1" applyAlignment="1">
      <alignment horizontal="center" vertical="center" wrapText="1"/>
    </xf>
    <xf numFmtId="4" fontId="3" fillId="0" borderId="21" xfId="19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34" xfId="0" applyNumberFormat="1" applyFont="1" applyBorder="1" applyAlignment="1">
      <alignment horizontal="center" vertical="center"/>
    </xf>
    <xf numFmtId="181" fontId="3" fillId="0" borderId="5" xfId="19" applyNumberFormat="1" applyFont="1" applyBorder="1" applyAlignment="1">
      <alignment horizontal="center" vertical="center" wrapText="1"/>
    </xf>
    <xf numFmtId="4" fontId="3" fillId="0" borderId="5" xfId="19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180" fontId="3" fillId="0" borderId="19" xfId="0" applyNumberFormat="1" applyFont="1" applyBorder="1" applyAlignment="1">
      <alignment horizontal="right" vertical="center" wrapText="1"/>
    </xf>
    <xf numFmtId="181" fontId="3" fillId="0" borderId="19" xfId="19" applyNumberFormat="1" applyFont="1" applyBorder="1" applyAlignment="1">
      <alignment horizontal="center" vertical="center" wrapText="1"/>
    </xf>
    <xf numFmtId="4" fontId="3" fillId="0" borderId="19" xfId="19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/>
    </xf>
    <xf numFmtId="181" fontId="2" fillId="3" borderId="3" xfId="19" applyNumberFormat="1" applyFont="1" applyFill="1" applyBorder="1" applyAlignment="1">
      <alignment horizontal="center" vertical="center" wrapText="1"/>
    </xf>
    <xf numFmtId="4" fontId="2" fillId="3" borderId="3" xfId="19" applyNumberFormat="1" applyFont="1" applyFill="1" applyBorder="1" applyAlignment="1">
      <alignment horizontal="center" vertical="center" wrapText="1"/>
    </xf>
    <xf numFmtId="4" fontId="2" fillId="3" borderId="14" xfId="19" applyNumberFormat="1" applyFont="1" applyFill="1" applyBorder="1" applyAlignment="1">
      <alignment horizontal="center" vertical="center" wrapText="1"/>
    </xf>
    <xf numFmtId="181" fontId="3" fillId="3" borderId="21" xfId="19" applyNumberFormat="1" applyFont="1" applyFill="1" applyBorder="1" applyAlignment="1">
      <alignment horizontal="center" vertical="center" wrapText="1"/>
    </xf>
    <xf numFmtId="4" fontId="3" fillId="3" borderId="21" xfId="19" applyNumberFormat="1" applyFont="1" applyFill="1" applyBorder="1" applyAlignment="1">
      <alignment horizontal="center" vertical="center" wrapText="1"/>
    </xf>
    <xf numFmtId="4" fontId="3" fillId="3" borderId="21" xfId="0" applyNumberFormat="1" applyFont="1" applyFill="1" applyBorder="1" applyAlignment="1">
      <alignment horizontal="right" vertical="center" wrapText="1"/>
    </xf>
    <xf numFmtId="4" fontId="3" fillId="3" borderId="21" xfId="0" applyNumberFormat="1" applyFont="1" applyFill="1" applyBorder="1" applyAlignment="1">
      <alignment horizontal="center" vertical="center" wrapText="1"/>
    </xf>
    <xf numFmtId="181" fontId="3" fillId="3" borderId="5" xfId="19" applyNumberFormat="1" applyFont="1" applyFill="1" applyBorder="1" applyAlignment="1">
      <alignment horizontal="center" vertical="center" wrapText="1"/>
    </xf>
    <xf numFmtId="4" fontId="3" fillId="3" borderId="5" xfId="19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right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181" fontId="3" fillId="3" borderId="19" xfId="19" applyNumberFormat="1" applyFont="1" applyFill="1" applyBorder="1" applyAlignment="1">
      <alignment horizontal="center" vertical="center" wrapText="1"/>
    </xf>
    <xf numFmtId="4" fontId="3" fillId="3" borderId="19" xfId="19" applyNumberFormat="1" applyFont="1" applyFill="1" applyBorder="1" applyAlignment="1">
      <alignment horizontal="center" vertical="center" wrapText="1"/>
    </xf>
    <xf numFmtId="4" fontId="3" fillId="3" borderId="19" xfId="0" applyNumberFormat="1" applyFont="1" applyFill="1" applyBorder="1" applyAlignment="1">
      <alignment horizontal="right" vertical="center" wrapText="1"/>
    </xf>
    <xf numFmtId="4" fontId="3" fillId="3" borderId="19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right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0" borderId="14" xfId="19" applyNumberFormat="1" applyFont="1" applyBorder="1" applyAlignment="1">
      <alignment horizontal="center" vertical="center" wrapText="1"/>
    </xf>
    <xf numFmtId="181" fontId="3" fillId="0" borderId="7" xfId="19" applyNumberFormat="1" applyFont="1" applyBorder="1" applyAlignment="1">
      <alignment horizontal="center" vertical="center" wrapText="1"/>
    </xf>
    <xf numFmtId="4" fontId="3" fillId="0" borderId="7" xfId="19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 wrapText="1"/>
    </xf>
    <xf numFmtId="180" fontId="3" fillId="0" borderId="3" xfId="0" applyNumberFormat="1" applyFont="1" applyBorder="1" applyAlignment="1">
      <alignment horizontal="right" vertical="center"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left"/>
    </xf>
    <xf numFmtId="180" fontId="2" fillId="0" borderId="27" xfId="0" applyNumberFormat="1" applyFont="1" applyBorder="1" applyAlignment="1">
      <alignment horizontal="right"/>
    </xf>
    <xf numFmtId="181" fontId="2" fillId="0" borderId="27" xfId="19" applyNumberFormat="1" applyFont="1" applyBorder="1" applyAlignment="1">
      <alignment horizontal="center" vertical="center"/>
    </xf>
    <xf numFmtId="4" fontId="2" fillId="0" borderId="27" xfId="19" applyNumberFormat="1" applyFont="1" applyBorder="1" applyAlignment="1">
      <alignment horizontal="center" vertical="center"/>
    </xf>
    <xf numFmtId="4" fontId="2" fillId="0" borderId="28" xfId="19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14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185" fontId="14" fillId="0" borderId="5" xfId="19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2" fontId="16" fillId="0" borderId="1" xfId="0" applyNumberFormat="1" applyFont="1" applyFill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/>
    </xf>
    <xf numFmtId="0" fontId="21" fillId="0" borderId="1" xfId="0" applyFont="1" applyFill="1" applyBorder="1" applyAlignment="1">
      <alignment/>
    </xf>
    <xf numFmtId="0" fontId="16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 indent="1"/>
    </xf>
    <xf numFmtId="1" fontId="22" fillId="3" borderId="1" xfId="0" applyNumberFormat="1" applyFont="1" applyFill="1" applyBorder="1" applyAlignment="1">
      <alignment horizontal="right" vertical="center" wrapText="1"/>
    </xf>
    <xf numFmtId="0" fontId="22" fillId="3" borderId="1" xfId="0" applyFont="1" applyFill="1" applyBorder="1" applyAlignment="1">
      <alignment horizontal="right" vertical="center" wrapText="1"/>
    </xf>
    <xf numFmtId="0" fontId="21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0" fillId="0" borderId="9" xfId="0" applyFont="1" applyBorder="1" applyAlignment="1">
      <alignment/>
    </xf>
    <xf numFmtId="0" fontId="21" fillId="0" borderId="9" xfId="0" applyFont="1" applyBorder="1" applyAlignment="1">
      <alignment horizontal="center"/>
    </xf>
    <xf numFmtId="0" fontId="0" fillId="0" borderId="36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25" fillId="0" borderId="37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0" fontId="25" fillId="0" borderId="37" xfId="0" applyFont="1" applyBorder="1" applyAlignment="1">
      <alignment/>
    </xf>
    <xf numFmtId="3" fontId="27" fillId="0" borderId="37" xfId="0" applyNumberFormat="1" applyFont="1" applyBorder="1" applyAlignment="1">
      <alignment/>
    </xf>
    <xf numFmtId="0" fontId="25" fillId="0" borderId="37" xfId="0" applyFont="1" applyBorder="1" applyAlignment="1">
      <alignment wrapText="1"/>
    </xf>
    <xf numFmtId="3" fontId="27" fillId="0" borderId="38" xfId="0" applyNumberFormat="1" applyFont="1" applyBorder="1" applyAlignment="1">
      <alignment/>
    </xf>
    <xf numFmtId="0" fontId="28" fillId="0" borderId="1" xfId="0" applyFont="1" applyBorder="1" applyAlignment="1">
      <alignment wrapText="1"/>
    </xf>
    <xf numFmtId="0" fontId="21" fillId="0" borderId="1" xfId="0" applyFont="1" applyBorder="1" applyAlignment="1">
      <alignment horizontal="center"/>
    </xf>
    <xf numFmtId="0" fontId="24" fillId="0" borderId="1" xfId="0" applyFont="1" applyBorder="1" applyAlignment="1">
      <alignment wrapText="1"/>
    </xf>
    <xf numFmtId="18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" xfId="0" applyFont="1" applyBorder="1" applyAlignment="1">
      <alignment wrapText="1"/>
    </xf>
    <xf numFmtId="0" fontId="24" fillId="0" borderId="36" xfId="0" applyFont="1" applyBorder="1" applyAlignment="1">
      <alignment/>
    </xf>
    <xf numFmtId="0" fontId="24" fillId="0" borderId="0" xfId="0" applyFont="1" applyBorder="1" applyAlignment="1">
      <alignment/>
    </xf>
    <xf numFmtId="0" fontId="28" fillId="0" borderId="38" xfId="0" applyFont="1" applyBorder="1" applyAlignment="1">
      <alignment wrapText="1"/>
    </xf>
    <xf numFmtId="0" fontId="21" fillId="0" borderId="2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3" fillId="0" borderId="9" xfId="0" applyFont="1" applyBorder="1" applyAlignment="1">
      <alignment wrapText="1"/>
    </xf>
    <xf numFmtId="0" fontId="20" fillId="0" borderId="1" xfId="0" applyFont="1" applyBorder="1" applyAlignment="1">
      <alignment/>
    </xf>
    <xf numFmtId="0" fontId="26" fillId="0" borderId="1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0" fontId="24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 wrapText="1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3" fillId="0" borderId="0" xfId="0" applyFont="1" applyBorder="1" applyAlignment="1" applyProtection="1">
      <alignment vertical="top" wrapText="1"/>
      <protection locked="0"/>
    </xf>
    <xf numFmtId="0" fontId="21" fillId="0" borderId="0" xfId="0" applyFont="1" applyBorder="1" applyAlignment="1">
      <alignment vertical="top" wrapText="1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9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37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9" xfId="0" applyFont="1" applyBorder="1" applyAlignment="1">
      <alignment/>
    </xf>
    <xf numFmtId="1" fontId="26" fillId="0" borderId="1" xfId="0" applyNumberFormat="1" applyFont="1" applyBorder="1" applyAlignment="1">
      <alignment/>
    </xf>
    <xf numFmtId="3" fontId="26" fillId="0" borderId="1" xfId="0" applyNumberFormat="1" applyFont="1" applyBorder="1" applyAlignment="1">
      <alignment/>
    </xf>
    <xf numFmtId="0" fontId="27" fillId="0" borderId="1" xfId="0" applyFont="1" applyBorder="1" applyAlignment="1">
      <alignment/>
    </xf>
    <xf numFmtId="1" fontId="27" fillId="0" borderId="1" xfId="0" applyNumberFormat="1" applyFont="1" applyBorder="1" applyAlignment="1">
      <alignment/>
    </xf>
    <xf numFmtId="0" fontId="26" fillId="0" borderId="1" xfId="0" applyFont="1" applyBorder="1" applyAlignment="1">
      <alignment/>
    </xf>
    <xf numFmtId="0" fontId="26" fillId="0" borderId="1" xfId="0" applyFont="1" applyFill="1" applyBorder="1" applyAlignment="1">
      <alignment/>
    </xf>
    <xf numFmtId="1" fontId="26" fillId="0" borderId="1" xfId="0" applyNumberFormat="1" applyFont="1" applyFill="1" applyBorder="1" applyAlignment="1">
      <alignment/>
    </xf>
    <xf numFmtId="181" fontId="27" fillId="0" borderId="1" xfId="0" applyNumberFormat="1" applyFont="1" applyBorder="1" applyAlignment="1">
      <alignment/>
    </xf>
    <xf numFmtId="1" fontId="26" fillId="0" borderId="13" xfId="0" applyNumberFormat="1" applyFont="1" applyBorder="1" applyAlignment="1">
      <alignment/>
    </xf>
    <xf numFmtId="1" fontId="26" fillId="0" borderId="9" xfId="0" applyNumberFormat="1" applyFont="1" applyBorder="1" applyAlignment="1">
      <alignment/>
    </xf>
    <xf numFmtId="1" fontId="26" fillId="0" borderId="29" xfId="0" applyNumberFormat="1" applyFont="1" applyBorder="1" applyAlignment="1">
      <alignment/>
    </xf>
    <xf numFmtId="181" fontId="26" fillId="0" borderId="9" xfId="0" applyNumberFormat="1" applyFont="1" applyBorder="1" applyAlignment="1">
      <alignment/>
    </xf>
    <xf numFmtId="181" fontId="26" fillId="0" borderId="13" xfId="0" applyNumberFormat="1" applyFont="1" applyBorder="1" applyAlignment="1">
      <alignment/>
    </xf>
    <xf numFmtId="181" fontId="26" fillId="0" borderId="29" xfId="0" applyNumberFormat="1" applyFont="1" applyBorder="1" applyAlignment="1">
      <alignment/>
    </xf>
    <xf numFmtId="181" fontId="26" fillId="0" borderId="1" xfId="0" applyNumberFormat="1" applyFont="1" applyBorder="1" applyAlignment="1">
      <alignment/>
    </xf>
    <xf numFmtId="181" fontId="26" fillId="0" borderId="12" xfId="0" applyNumberFormat="1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29" xfId="0" applyFont="1" applyBorder="1" applyAlignment="1">
      <alignment/>
    </xf>
    <xf numFmtId="3" fontId="27" fillId="0" borderId="1" xfId="0" applyNumberFormat="1" applyFont="1" applyBorder="1" applyAlignment="1">
      <alignment/>
    </xf>
    <xf numFmtId="0" fontId="22" fillId="0" borderId="1" xfId="0" applyFont="1" applyFill="1" applyBorder="1" applyAlignment="1">
      <alignment horizontal="right" vertical="center" wrapText="1"/>
    </xf>
    <xf numFmtId="2" fontId="22" fillId="0" borderId="1" xfId="0" applyNumberFormat="1" applyFont="1" applyFill="1" applyBorder="1" applyAlignment="1">
      <alignment horizontal="right" vertical="center" wrapText="1"/>
    </xf>
    <xf numFmtId="0" fontId="30" fillId="3" borderId="1" xfId="0" applyFont="1" applyFill="1" applyBorder="1" applyAlignment="1">
      <alignment horizontal="right" vertical="center" wrapText="1"/>
    </xf>
    <xf numFmtId="2" fontId="22" fillId="3" borderId="1" xfId="0" applyNumberFormat="1" applyFont="1" applyFill="1" applyBorder="1" applyAlignment="1">
      <alignment horizontal="right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179" fontId="7" fillId="0" borderId="0" xfId="19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8" fillId="0" borderId="39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/>
    </xf>
    <xf numFmtId="49" fontId="32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workbookViewId="0" topLeftCell="A14">
      <selection activeCell="B23" sqref="B23"/>
    </sheetView>
  </sheetViews>
  <sheetFormatPr defaultColWidth="9.140625" defaultRowHeight="12.75" outlineLevelRow="1"/>
  <cols>
    <col min="1" max="1" width="5.28125" style="1" customWidth="1"/>
    <col min="2" max="2" width="53.28125" style="1" customWidth="1"/>
    <col min="3" max="3" width="15.421875" style="20" hidden="1" customWidth="1"/>
    <col min="4" max="4" width="14.8515625" style="21" customWidth="1"/>
    <col min="5" max="6" width="13.140625" style="21" hidden="1" customWidth="1"/>
    <col min="7" max="7" width="13.140625" style="21" customWidth="1"/>
    <col min="8" max="8" width="14.57421875" style="21" customWidth="1"/>
    <col min="9" max="10" width="12.28125" style="1" hidden="1" customWidth="1"/>
    <col min="11" max="11" width="19.00390625" style="1" hidden="1" customWidth="1"/>
    <col min="12" max="12" width="12.7109375" style="1" hidden="1" customWidth="1"/>
    <col min="13" max="13" width="11.421875" style="1" hidden="1" customWidth="1"/>
    <col min="14" max="14" width="11.421875" style="1" customWidth="1"/>
    <col min="15" max="15" width="14.00390625" style="21" customWidth="1"/>
    <col min="16" max="16" width="11.421875" style="225" customWidth="1"/>
    <col min="17" max="18" width="9.140625" style="160" customWidth="1"/>
    <col min="19" max="16384" width="9.140625" style="1" customWidth="1"/>
  </cols>
  <sheetData>
    <row r="1" spans="1:18" s="158" customFormat="1" ht="16.5" customHeight="1">
      <c r="A1" s="330" t="s">
        <v>340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157"/>
      <c r="R1" s="157"/>
    </row>
    <row r="2" spans="1:16" ht="15.7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331" t="s">
        <v>0</v>
      </c>
      <c r="P2" s="331"/>
    </row>
    <row r="3" spans="1:16" ht="15.75" customHeight="1">
      <c r="A3" s="332" t="s">
        <v>1</v>
      </c>
      <c r="B3" s="332" t="s">
        <v>2</v>
      </c>
      <c r="C3" s="161"/>
      <c r="D3" s="333" t="s">
        <v>3</v>
      </c>
      <c r="E3" s="333"/>
      <c r="F3" s="333"/>
      <c r="G3" s="333"/>
      <c r="H3" s="333" t="s">
        <v>274</v>
      </c>
      <c r="I3" s="333"/>
      <c r="J3" s="333"/>
      <c r="K3" s="333"/>
      <c r="L3" s="333"/>
      <c r="M3" s="333"/>
      <c r="N3" s="333"/>
      <c r="O3" s="333" t="s">
        <v>339</v>
      </c>
      <c r="P3" s="333"/>
    </row>
    <row r="4" spans="1:18" s="3" customFormat="1" ht="14.25" customHeight="1">
      <c r="A4" s="332"/>
      <c r="B4" s="332"/>
      <c r="C4" s="162" t="s">
        <v>4</v>
      </c>
      <c r="D4" s="163" t="s">
        <v>319</v>
      </c>
      <c r="E4" s="161" t="s">
        <v>5</v>
      </c>
      <c r="F4" s="161"/>
      <c r="G4" s="164" t="s">
        <v>320</v>
      </c>
      <c r="H4" s="163" t="s">
        <v>319</v>
      </c>
      <c r="I4" s="161" t="s">
        <v>5</v>
      </c>
      <c r="J4" s="161"/>
      <c r="K4" s="164" t="s">
        <v>320</v>
      </c>
      <c r="L4" s="165" t="s">
        <v>5</v>
      </c>
      <c r="M4" s="165"/>
      <c r="N4" s="164" t="s">
        <v>320</v>
      </c>
      <c r="O4" s="163" t="s">
        <v>319</v>
      </c>
      <c r="P4" s="166" t="s">
        <v>320</v>
      </c>
      <c r="Q4" s="167"/>
      <c r="R4" s="167"/>
    </row>
    <row r="5" spans="1:18" s="329" customFormat="1" ht="12.75">
      <c r="A5" s="326" t="s">
        <v>6</v>
      </c>
      <c r="B5" s="326" t="s">
        <v>7</v>
      </c>
      <c r="C5" s="326"/>
      <c r="D5" s="326">
        <v>3</v>
      </c>
      <c r="E5" s="326"/>
      <c r="F5" s="326">
        <v>4</v>
      </c>
      <c r="G5" s="326" t="s">
        <v>8</v>
      </c>
      <c r="H5" s="326" t="s">
        <v>321</v>
      </c>
      <c r="I5" s="326"/>
      <c r="J5" s="326">
        <v>6</v>
      </c>
      <c r="K5" s="326"/>
      <c r="L5" s="326" t="s">
        <v>9</v>
      </c>
      <c r="M5" s="326" t="s">
        <v>10</v>
      </c>
      <c r="N5" s="327">
        <v>7</v>
      </c>
      <c r="O5" s="327">
        <v>8</v>
      </c>
      <c r="P5" s="326" t="s">
        <v>322</v>
      </c>
      <c r="Q5" s="328"/>
      <c r="R5" s="328"/>
    </row>
    <row r="6" spans="1:16" ht="18.75" customHeight="1">
      <c r="A6" s="6" t="s">
        <v>11</v>
      </c>
      <c r="B6" s="7" t="s">
        <v>12</v>
      </c>
      <c r="C6" s="8">
        <f>SUM(C7:C14)</f>
        <v>2142078</v>
      </c>
      <c r="D6" s="168">
        <f>SUM(D7:D14)</f>
        <v>129163.1</v>
      </c>
      <c r="E6" s="169" t="e">
        <f>SUM(E7:E14)</f>
        <v>#REF!</v>
      </c>
      <c r="F6" s="169">
        <f>SUM(F7:F14)</f>
        <v>195.99</v>
      </c>
      <c r="G6" s="169">
        <f>D6/D61*100</f>
        <v>5.34</v>
      </c>
      <c r="H6" s="168">
        <f>SUM(H7:H14)</f>
        <v>186062.8</v>
      </c>
      <c r="I6" s="170" t="e">
        <f>#REF!/#REF!*100</f>
        <v>#REF!</v>
      </c>
      <c r="J6" s="170">
        <f aca="true" t="shared" si="0" ref="J6:J14">H6/D6*100</f>
        <v>144.05</v>
      </c>
      <c r="K6" s="170">
        <v>4573428.9</v>
      </c>
      <c r="L6" s="170" t="e">
        <f>K6/#REF!*100</f>
        <v>#REF!</v>
      </c>
      <c r="M6" s="170">
        <f aca="true" t="shared" si="1" ref="M6:M14">K6/H6*100</f>
        <v>2458</v>
      </c>
      <c r="N6" s="171">
        <f>H6/H61*100</f>
        <v>8.02</v>
      </c>
      <c r="O6" s="168">
        <f>SUM(O7:O14)</f>
        <v>259060.8</v>
      </c>
      <c r="P6" s="172">
        <f>SUM(P7:P14)</f>
        <v>10.54</v>
      </c>
    </row>
    <row r="7" spans="1:16" ht="25.5" outlineLevel="1">
      <c r="A7" s="173" t="s">
        <v>13</v>
      </c>
      <c r="B7" s="174" t="s">
        <v>14</v>
      </c>
      <c r="C7" s="175">
        <v>2091</v>
      </c>
      <c r="D7" s="176">
        <v>3368.1</v>
      </c>
      <c r="E7" s="177" t="e">
        <f>#REF!/C7*100</f>
        <v>#REF!</v>
      </c>
      <c r="F7" s="177">
        <f aca="true" t="shared" si="2" ref="F7:F14">D7/C7*100</f>
        <v>161.08</v>
      </c>
      <c r="G7" s="177">
        <f>D7/D61*100</f>
        <v>0.14</v>
      </c>
      <c r="H7" s="176">
        <v>3518</v>
      </c>
      <c r="I7" s="178" t="e">
        <f>#REF!/#REF!*100</f>
        <v>#REF!</v>
      </c>
      <c r="J7" s="178">
        <f t="shared" si="0"/>
        <v>104.45</v>
      </c>
      <c r="K7" s="178">
        <v>3021</v>
      </c>
      <c r="L7" s="178" t="e">
        <f>K7/#REF!*100</f>
        <v>#REF!</v>
      </c>
      <c r="M7" s="178">
        <f t="shared" si="1"/>
        <v>85.87</v>
      </c>
      <c r="N7" s="179">
        <f>H7/H61*100</f>
        <v>0.15</v>
      </c>
      <c r="O7" s="176">
        <v>3518</v>
      </c>
      <c r="P7" s="180">
        <f>O7/O61*100</f>
        <v>0.14</v>
      </c>
    </row>
    <row r="8" spans="1:16" ht="38.25" outlineLevel="1">
      <c r="A8" s="9" t="s">
        <v>15</v>
      </c>
      <c r="B8" s="10" t="s">
        <v>16</v>
      </c>
      <c r="C8" s="11">
        <v>248637</v>
      </c>
      <c r="D8" s="181">
        <v>13328.9</v>
      </c>
      <c r="E8" s="182" t="e">
        <f>#REF!/C8*100</f>
        <v>#REF!</v>
      </c>
      <c r="F8" s="182">
        <f t="shared" si="2"/>
        <v>5.36</v>
      </c>
      <c r="G8" s="182">
        <f>D8/D61*100</f>
        <v>0.55</v>
      </c>
      <c r="H8" s="181">
        <v>13286.3</v>
      </c>
      <c r="I8" s="183" t="e">
        <f>#REF!/#REF!*100</f>
        <v>#REF!</v>
      </c>
      <c r="J8" s="183">
        <f t="shared" si="0"/>
        <v>99.68</v>
      </c>
      <c r="K8" s="183">
        <v>359055.6</v>
      </c>
      <c r="L8" s="183" t="e">
        <f>K8/#REF!*100</f>
        <v>#REF!</v>
      </c>
      <c r="M8" s="183">
        <f t="shared" si="1"/>
        <v>2702.45</v>
      </c>
      <c r="N8" s="184">
        <f>H8/H61*100</f>
        <v>0.57</v>
      </c>
      <c r="O8" s="181">
        <v>13333.6</v>
      </c>
      <c r="P8" s="185">
        <f>O8/O61*100</f>
        <v>0.54</v>
      </c>
    </row>
    <row r="9" spans="1:16" ht="38.25" outlineLevel="1">
      <c r="A9" s="9" t="s">
        <v>17</v>
      </c>
      <c r="B9" s="10" t="s">
        <v>323</v>
      </c>
      <c r="C9" s="11">
        <v>363087.7</v>
      </c>
      <c r="D9" s="181">
        <v>37030.5</v>
      </c>
      <c r="E9" s="182" t="e">
        <f>#REF!/C9*100</f>
        <v>#REF!</v>
      </c>
      <c r="F9" s="182">
        <f t="shared" si="2"/>
        <v>10.2</v>
      </c>
      <c r="G9" s="182">
        <f>D9/D61*100</f>
        <v>1.53</v>
      </c>
      <c r="H9" s="181">
        <v>37319</v>
      </c>
      <c r="I9" s="183" t="e">
        <f>#REF!/#REF!*100</f>
        <v>#REF!</v>
      </c>
      <c r="J9" s="183">
        <f t="shared" si="0"/>
        <v>100.78</v>
      </c>
      <c r="K9" s="183">
        <v>465516.9</v>
      </c>
      <c r="L9" s="183" t="e">
        <f>K9/#REF!*100</f>
        <v>#REF!</v>
      </c>
      <c r="M9" s="183">
        <f t="shared" si="1"/>
        <v>1247.4</v>
      </c>
      <c r="N9" s="184">
        <f>H9/H61*100</f>
        <v>1.61</v>
      </c>
      <c r="O9" s="181">
        <v>37680.4</v>
      </c>
      <c r="P9" s="185">
        <f>O9/O61*100</f>
        <v>1.53</v>
      </c>
    </row>
    <row r="10" spans="1:16" ht="12.75" hidden="1" outlineLevel="1">
      <c r="A10" s="9" t="s">
        <v>277</v>
      </c>
      <c r="B10" s="10" t="s">
        <v>278</v>
      </c>
      <c r="C10" s="11"/>
      <c r="D10" s="181"/>
      <c r="E10" s="182"/>
      <c r="F10" s="182"/>
      <c r="G10" s="182"/>
      <c r="H10" s="181"/>
      <c r="I10" s="183"/>
      <c r="J10" s="183"/>
      <c r="K10" s="183"/>
      <c r="L10" s="183"/>
      <c r="M10" s="183"/>
      <c r="N10" s="184"/>
      <c r="O10" s="181"/>
      <c r="P10" s="185"/>
    </row>
    <row r="11" spans="1:16" ht="25.5" outlineLevel="1">
      <c r="A11" s="9" t="s">
        <v>18</v>
      </c>
      <c r="B11" s="10" t="s">
        <v>324</v>
      </c>
      <c r="C11" s="11">
        <v>283594</v>
      </c>
      <c r="D11" s="181">
        <v>29648.7</v>
      </c>
      <c r="E11" s="182" t="e">
        <f>#REF!/C11*100</f>
        <v>#REF!</v>
      </c>
      <c r="F11" s="182">
        <f t="shared" si="2"/>
        <v>10.45</v>
      </c>
      <c r="G11" s="182">
        <f>D11/D61*100</f>
        <v>1.23</v>
      </c>
      <c r="H11" s="181">
        <v>30856.3</v>
      </c>
      <c r="I11" s="183" t="e">
        <f>#REF!/#REF!*100</f>
        <v>#REF!</v>
      </c>
      <c r="J11" s="183">
        <f t="shared" si="0"/>
        <v>104.07</v>
      </c>
      <c r="K11" s="183">
        <v>194463.8</v>
      </c>
      <c r="L11" s="183" t="e">
        <f>K11/#REF!*100</f>
        <v>#REF!</v>
      </c>
      <c r="M11" s="183">
        <f t="shared" si="1"/>
        <v>630.22</v>
      </c>
      <c r="N11" s="184">
        <f>H11/H61*100</f>
        <v>1.33</v>
      </c>
      <c r="O11" s="181">
        <v>30932.7</v>
      </c>
      <c r="P11" s="185">
        <f>O11/O61*100</f>
        <v>1.26</v>
      </c>
    </row>
    <row r="12" spans="1:16" ht="13.5" customHeight="1" outlineLevel="1">
      <c r="A12" s="9" t="s">
        <v>19</v>
      </c>
      <c r="B12" s="10" t="s">
        <v>20</v>
      </c>
      <c r="C12" s="11">
        <v>34887</v>
      </c>
      <c r="D12" s="181">
        <v>0</v>
      </c>
      <c r="E12" s="182" t="e">
        <f>#REF!/C12*100</f>
        <v>#REF!</v>
      </c>
      <c r="F12" s="182">
        <f t="shared" si="2"/>
        <v>0</v>
      </c>
      <c r="G12" s="182">
        <f>D12/D61*100</f>
        <v>0</v>
      </c>
      <c r="H12" s="181">
        <v>0</v>
      </c>
      <c r="I12" s="183" t="e">
        <f>#REF!/#REF!*100</f>
        <v>#REF!</v>
      </c>
      <c r="J12" s="183" t="e">
        <f t="shared" si="0"/>
        <v>#DIV/0!</v>
      </c>
      <c r="K12" s="183">
        <v>124477</v>
      </c>
      <c r="L12" s="183" t="e">
        <f>K12/#REF!*100</f>
        <v>#REF!</v>
      </c>
      <c r="M12" s="183" t="e">
        <f t="shared" si="1"/>
        <v>#DIV/0!</v>
      </c>
      <c r="N12" s="184">
        <f>H12/H61*100</f>
        <v>0</v>
      </c>
      <c r="O12" s="181">
        <v>0</v>
      </c>
      <c r="P12" s="185">
        <f>O12/O61*100</f>
        <v>0</v>
      </c>
    </row>
    <row r="13" spans="1:16" ht="12.75" outlineLevel="1">
      <c r="A13" s="9" t="s">
        <v>21</v>
      </c>
      <c r="B13" s="10" t="s">
        <v>22</v>
      </c>
      <c r="C13" s="11">
        <v>150000</v>
      </c>
      <c r="D13" s="181">
        <v>8000</v>
      </c>
      <c r="E13" s="182" t="e">
        <f>#REF!/C13*100</f>
        <v>#REF!</v>
      </c>
      <c r="F13" s="182">
        <f t="shared" si="2"/>
        <v>5.33</v>
      </c>
      <c r="G13" s="182">
        <f>D13/D61*100</f>
        <v>0.33</v>
      </c>
      <c r="H13" s="181">
        <v>10000</v>
      </c>
      <c r="I13" s="183" t="e">
        <f>#REF!/#REF!*100</f>
        <v>#REF!</v>
      </c>
      <c r="J13" s="183">
        <f t="shared" si="0"/>
        <v>125</v>
      </c>
      <c r="K13" s="183">
        <v>200000</v>
      </c>
      <c r="L13" s="183" t="e">
        <f>K13/#REF!*100</f>
        <v>#REF!</v>
      </c>
      <c r="M13" s="183">
        <f t="shared" si="1"/>
        <v>2000</v>
      </c>
      <c r="N13" s="184">
        <f>H13/H61*100</f>
        <v>0.43</v>
      </c>
      <c r="O13" s="181">
        <v>10000</v>
      </c>
      <c r="P13" s="185">
        <f>O13/O61*100</f>
        <v>0.41</v>
      </c>
    </row>
    <row r="14" spans="1:16" ht="14.25" customHeight="1" outlineLevel="1">
      <c r="A14" s="186" t="s">
        <v>23</v>
      </c>
      <c r="B14" s="187" t="s">
        <v>24</v>
      </c>
      <c r="C14" s="188">
        <v>1059781.3</v>
      </c>
      <c r="D14" s="189">
        <v>37786.9</v>
      </c>
      <c r="E14" s="190" t="e">
        <f>#REF!/C14*100</f>
        <v>#REF!</v>
      </c>
      <c r="F14" s="190">
        <f t="shared" si="2"/>
        <v>3.57</v>
      </c>
      <c r="G14" s="190">
        <f>D14/D61*100</f>
        <v>1.56</v>
      </c>
      <c r="H14" s="189">
        <v>91083.2</v>
      </c>
      <c r="I14" s="191" t="e">
        <f>#REF!/#REF!*100</f>
        <v>#REF!</v>
      </c>
      <c r="J14" s="191">
        <f t="shared" si="0"/>
        <v>241.04</v>
      </c>
      <c r="K14" s="191">
        <v>2844805.4</v>
      </c>
      <c r="L14" s="191" t="e">
        <f>K14/#REF!*100</f>
        <v>#REF!</v>
      </c>
      <c r="M14" s="191">
        <f t="shared" si="1"/>
        <v>3123.3</v>
      </c>
      <c r="N14" s="192">
        <f>H14/H61*100</f>
        <v>3.93</v>
      </c>
      <c r="O14" s="189">
        <v>163596.1</v>
      </c>
      <c r="P14" s="193">
        <f>O14/O61*100</f>
        <v>6.66</v>
      </c>
    </row>
    <row r="15" spans="1:16" ht="30.75" customHeight="1" outlineLevel="1">
      <c r="A15" s="6" t="s">
        <v>25</v>
      </c>
      <c r="B15" s="7" t="s">
        <v>26</v>
      </c>
      <c r="C15" s="8" t="e">
        <f>C16+#REF!+#REF!+#REF!+C18</f>
        <v>#REF!</v>
      </c>
      <c r="D15" s="168">
        <f>D16+D18+D17</f>
        <v>11157.3</v>
      </c>
      <c r="E15" s="169" t="e">
        <f>E16+E18+E17</f>
        <v>#REF!</v>
      </c>
      <c r="F15" s="169">
        <f>F16+F18+F17</f>
        <v>0</v>
      </c>
      <c r="G15" s="169">
        <f>G16+G17+G18</f>
        <v>0.46</v>
      </c>
      <c r="H15" s="168">
        <f>H16+H17+H18</f>
        <v>10318.4</v>
      </c>
      <c r="I15" s="169" t="e">
        <f aca="true" t="shared" si="3" ref="I15:P15">I16+I17+I18</f>
        <v>#REF!</v>
      </c>
      <c r="J15" s="169" t="e">
        <f t="shared" si="3"/>
        <v>#DIV/0!</v>
      </c>
      <c r="K15" s="169">
        <f t="shared" si="3"/>
        <v>769605.7</v>
      </c>
      <c r="L15" s="169" t="e">
        <f t="shared" si="3"/>
        <v>#REF!</v>
      </c>
      <c r="M15" s="169" t="e">
        <f t="shared" si="3"/>
        <v>#DIV/0!</v>
      </c>
      <c r="N15" s="169">
        <f t="shared" si="3"/>
        <v>0.44</v>
      </c>
      <c r="O15" s="168">
        <f t="shared" si="3"/>
        <v>10063.2</v>
      </c>
      <c r="P15" s="169">
        <f t="shared" si="3"/>
        <v>0.41</v>
      </c>
    </row>
    <row r="16" spans="1:16" ht="12.75" hidden="1" outlineLevel="1">
      <c r="A16" s="173" t="s">
        <v>27</v>
      </c>
      <c r="B16" s="174" t="s">
        <v>28</v>
      </c>
      <c r="C16" s="175">
        <v>790995.9</v>
      </c>
      <c r="D16" s="176">
        <v>0</v>
      </c>
      <c r="E16" s="177" t="e">
        <f>#REF!/C16*100</f>
        <v>#REF!</v>
      </c>
      <c r="F16" s="177">
        <f>D16/C16*100</f>
        <v>0</v>
      </c>
      <c r="G16" s="177">
        <f>D16/D61*100</f>
        <v>0</v>
      </c>
      <c r="H16" s="176">
        <v>0</v>
      </c>
      <c r="I16" s="178" t="e">
        <f>#REF!/#REF!*100</f>
        <v>#REF!</v>
      </c>
      <c r="J16" s="178" t="e">
        <f>H16/D16*100</f>
        <v>#DIV/0!</v>
      </c>
      <c r="K16" s="178">
        <v>769605.7</v>
      </c>
      <c r="L16" s="178" t="e">
        <f>K16/#REF!*100</f>
        <v>#REF!</v>
      </c>
      <c r="M16" s="178" t="e">
        <f>K16/H16*100</f>
        <v>#DIV/0!</v>
      </c>
      <c r="N16" s="179">
        <f>H16/H61*100</f>
        <v>0</v>
      </c>
      <c r="O16" s="176">
        <v>0</v>
      </c>
      <c r="P16" s="180">
        <f>O16/O61*100</f>
        <v>0</v>
      </c>
    </row>
    <row r="17" spans="1:16" ht="30.75" customHeight="1" outlineLevel="1">
      <c r="A17" s="9" t="s">
        <v>318</v>
      </c>
      <c r="B17" s="119" t="s">
        <v>279</v>
      </c>
      <c r="C17" s="11"/>
      <c r="D17" s="181">
        <v>11157.3</v>
      </c>
      <c r="E17" s="182"/>
      <c r="F17" s="182"/>
      <c r="G17" s="177">
        <f>D17/D61*100</f>
        <v>0.46</v>
      </c>
      <c r="H17" s="181">
        <v>10318.4</v>
      </c>
      <c r="I17" s="183"/>
      <c r="J17" s="183">
        <f>H17/D17*100</f>
        <v>92.48</v>
      </c>
      <c r="K17" s="183"/>
      <c r="L17" s="183"/>
      <c r="M17" s="183"/>
      <c r="N17" s="179">
        <f>H17/H61*100</f>
        <v>0.44</v>
      </c>
      <c r="O17" s="181">
        <v>10063.2</v>
      </c>
      <c r="P17" s="185">
        <f>O17/O61*100</f>
        <v>0.41</v>
      </c>
    </row>
    <row r="18" spans="1:16" ht="30" customHeight="1" hidden="1">
      <c r="A18" s="186" t="s">
        <v>29</v>
      </c>
      <c r="B18" s="187" t="s">
        <v>30</v>
      </c>
      <c r="C18" s="188">
        <v>25807</v>
      </c>
      <c r="D18" s="189">
        <v>0</v>
      </c>
      <c r="E18" s="190" t="e">
        <f>#REF!/C18*100</f>
        <v>#REF!</v>
      </c>
      <c r="F18" s="190">
        <f>D18/C18*100</f>
        <v>0</v>
      </c>
      <c r="G18" s="177">
        <v>0</v>
      </c>
      <c r="H18" s="189">
        <v>0</v>
      </c>
      <c r="I18" s="191" t="e">
        <f>#REF!/#REF!*100</f>
        <v>#REF!</v>
      </c>
      <c r="J18" s="191" t="e">
        <f>H18/D18*100</f>
        <v>#DIV/0!</v>
      </c>
      <c r="K18" s="191"/>
      <c r="L18" s="191" t="e">
        <f>K18/#REF!*100</f>
        <v>#REF!</v>
      </c>
      <c r="M18" s="191"/>
      <c r="N18" s="179"/>
      <c r="O18" s="189">
        <v>0</v>
      </c>
      <c r="P18" s="193"/>
    </row>
    <row r="19" spans="1:16" ht="12.75" outlineLevel="1">
      <c r="A19" s="6" t="s">
        <v>31</v>
      </c>
      <c r="B19" s="7" t="s">
        <v>32</v>
      </c>
      <c r="C19" s="8" t="e">
        <f>#REF!+#REF!+C20+C21+#REF!+C22+C23+#REF!+C24</f>
        <v>#REF!</v>
      </c>
      <c r="D19" s="194">
        <f>SUM(D20:D24)</f>
        <v>246835</v>
      </c>
      <c r="E19" s="195" t="e">
        <f>SUM(E20:E24)</f>
        <v>#REF!</v>
      </c>
      <c r="F19" s="195">
        <f>SUM(F20:F24)</f>
        <v>34.22</v>
      </c>
      <c r="G19" s="195">
        <f>D19/D61*100</f>
        <v>10.2</v>
      </c>
      <c r="H19" s="194">
        <f>SUM(H20:H24)</f>
        <v>146845.7</v>
      </c>
      <c r="I19" s="195" t="e">
        <f aca="true" t="shared" si="4" ref="I19:P19">SUM(I20:I24)</f>
        <v>#REF!</v>
      </c>
      <c r="J19" s="195" t="e">
        <f t="shared" si="4"/>
        <v>#DIV/0!</v>
      </c>
      <c r="K19" s="195">
        <f t="shared" si="4"/>
        <v>8610002</v>
      </c>
      <c r="L19" s="195" t="e">
        <f t="shared" si="4"/>
        <v>#REF!</v>
      </c>
      <c r="M19" s="195" t="e">
        <f t="shared" si="4"/>
        <v>#DIV/0!</v>
      </c>
      <c r="N19" s="195">
        <f>H19/H61*100</f>
        <v>6.33</v>
      </c>
      <c r="O19" s="194">
        <f t="shared" si="4"/>
        <v>119497</v>
      </c>
      <c r="P19" s="196">
        <f t="shared" si="4"/>
        <v>4.87</v>
      </c>
    </row>
    <row r="20" spans="1:16" ht="12.75" outlineLevel="1">
      <c r="A20" s="173" t="s">
        <v>33</v>
      </c>
      <c r="B20" s="174" t="s">
        <v>34</v>
      </c>
      <c r="C20" s="175">
        <v>1066669.8</v>
      </c>
      <c r="D20" s="197">
        <v>11425.6</v>
      </c>
      <c r="E20" s="198" t="e">
        <f>#REF!/C20*100</f>
        <v>#REF!</v>
      </c>
      <c r="F20" s="198">
        <f>D20/C20*100</f>
        <v>1.07</v>
      </c>
      <c r="G20" s="198">
        <f>D20/D61*100</f>
        <v>0.47</v>
      </c>
      <c r="H20" s="197">
        <v>11711.9</v>
      </c>
      <c r="I20" s="199" t="e">
        <f>#REF!/#REF!*100</f>
        <v>#REF!</v>
      </c>
      <c r="J20" s="199">
        <f>H20/D20*100</f>
        <v>102.51</v>
      </c>
      <c r="K20" s="199">
        <v>1178240.1</v>
      </c>
      <c r="L20" s="199" t="e">
        <f>K20/#REF!*100</f>
        <v>#REF!</v>
      </c>
      <c r="M20" s="199">
        <f aca="true" t="shared" si="5" ref="M20:M60">K20/H20*100</f>
        <v>10060.2</v>
      </c>
      <c r="N20" s="200">
        <f>H20/H61*100</f>
        <v>0.5</v>
      </c>
      <c r="O20" s="197">
        <v>11758.9</v>
      </c>
      <c r="P20" s="180">
        <f>O20/O61*100</f>
        <v>0.48</v>
      </c>
    </row>
    <row r="21" spans="1:16" ht="12.75" hidden="1" outlineLevel="1">
      <c r="A21" s="9" t="s">
        <v>35</v>
      </c>
      <c r="B21" s="10" t="s">
        <v>36</v>
      </c>
      <c r="C21" s="11">
        <v>100000</v>
      </c>
      <c r="D21" s="201">
        <v>0</v>
      </c>
      <c r="E21" s="202" t="e">
        <f>#REF!/C21*100</f>
        <v>#REF!</v>
      </c>
      <c r="F21" s="202">
        <f>D21/C21*100</f>
        <v>0</v>
      </c>
      <c r="G21" s="202">
        <f>D21/D61*100</f>
        <v>0</v>
      </c>
      <c r="H21" s="201">
        <v>0</v>
      </c>
      <c r="I21" s="203" t="e">
        <f>#REF!/#REF!*100</f>
        <v>#REF!</v>
      </c>
      <c r="J21" s="203" t="e">
        <f>H21/D21*100</f>
        <v>#DIV/0!</v>
      </c>
      <c r="K21" s="203">
        <v>57102</v>
      </c>
      <c r="L21" s="203" t="e">
        <f>K21/#REF!*100</f>
        <v>#REF!</v>
      </c>
      <c r="M21" s="203" t="e">
        <f t="shared" si="5"/>
        <v>#DIV/0!</v>
      </c>
      <c r="N21" s="204">
        <f>H21/H61*100</f>
        <v>0</v>
      </c>
      <c r="O21" s="201">
        <v>0</v>
      </c>
      <c r="P21" s="185">
        <f>O21/O61*100</f>
        <v>0</v>
      </c>
    </row>
    <row r="22" spans="1:16" ht="12.75" outlineLevel="1">
      <c r="A22" s="9" t="s">
        <v>37</v>
      </c>
      <c r="B22" s="10" t="s">
        <v>38</v>
      </c>
      <c r="C22" s="11">
        <v>305052.2</v>
      </c>
      <c r="D22" s="201">
        <v>777.9</v>
      </c>
      <c r="E22" s="202" t="e">
        <f>#REF!/C22*100</f>
        <v>#REF!</v>
      </c>
      <c r="F22" s="202">
        <f>D22/C22*100</f>
        <v>0.26</v>
      </c>
      <c r="G22" s="202">
        <f>D22/D61*100</f>
        <v>0.03</v>
      </c>
      <c r="H22" s="201">
        <v>400</v>
      </c>
      <c r="I22" s="203" t="e">
        <f>#REF!/#REF!*100</f>
        <v>#REF!</v>
      </c>
      <c r="J22" s="203">
        <f>H22/D22*100</f>
        <v>51.42</v>
      </c>
      <c r="K22" s="203">
        <v>56637.7</v>
      </c>
      <c r="L22" s="203" t="e">
        <f>K22/#REF!*100</f>
        <v>#REF!</v>
      </c>
      <c r="M22" s="203">
        <f t="shared" si="5"/>
        <v>14159.43</v>
      </c>
      <c r="N22" s="204">
        <f>H22/H61*100</f>
        <v>0.02</v>
      </c>
      <c r="O22" s="201">
        <v>400</v>
      </c>
      <c r="P22" s="185">
        <f>O22/O61*100</f>
        <v>0.02</v>
      </c>
    </row>
    <row r="23" spans="1:16" ht="12.75" outlineLevel="1">
      <c r="A23" s="9" t="s">
        <v>39</v>
      </c>
      <c r="B23" s="10" t="s">
        <v>325</v>
      </c>
      <c r="C23" s="11">
        <v>5433671.6</v>
      </c>
      <c r="D23" s="201">
        <v>208020.8</v>
      </c>
      <c r="E23" s="202" t="e">
        <f>#REF!/C23*100</f>
        <v>#REF!</v>
      </c>
      <c r="F23" s="202">
        <f>D23/C23*100</f>
        <v>3.83</v>
      </c>
      <c r="G23" s="202">
        <f>D23/D61*100</f>
        <v>8.6</v>
      </c>
      <c r="H23" s="201">
        <v>113627.2</v>
      </c>
      <c r="I23" s="203" t="e">
        <f>#REF!/#REF!*100</f>
        <v>#REF!</v>
      </c>
      <c r="J23" s="203">
        <f>H23/D23*100</f>
        <v>54.62</v>
      </c>
      <c r="K23" s="203">
        <v>7097559.4</v>
      </c>
      <c r="L23" s="203" t="e">
        <f>K23/#REF!*100</f>
        <v>#REF!</v>
      </c>
      <c r="M23" s="203">
        <f t="shared" si="5"/>
        <v>6246.36</v>
      </c>
      <c r="N23" s="204">
        <f>H23/H61*100</f>
        <v>4.9</v>
      </c>
      <c r="O23" s="201">
        <v>86682.9</v>
      </c>
      <c r="P23" s="185">
        <f>O23/O61*100</f>
        <v>3.53</v>
      </c>
    </row>
    <row r="24" spans="1:16" ht="12.75">
      <c r="A24" s="186" t="s">
        <v>40</v>
      </c>
      <c r="B24" s="187" t="s">
        <v>41</v>
      </c>
      <c r="C24" s="188">
        <v>91586.5</v>
      </c>
      <c r="D24" s="205">
        <v>26610.7</v>
      </c>
      <c r="E24" s="206" t="e">
        <f>#REF!/C24*100</f>
        <v>#REF!</v>
      </c>
      <c r="F24" s="206">
        <f>D24/C24*100</f>
        <v>29.06</v>
      </c>
      <c r="G24" s="206">
        <f>D24/D61*100</f>
        <v>1.1</v>
      </c>
      <c r="H24" s="205">
        <v>21106.6</v>
      </c>
      <c r="I24" s="207" t="e">
        <f>#REF!/#REF!*100</f>
        <v>#REF!</v>
      </c>
      <c r="J24" s="207">
        <f>H24/D24*100</f>
        <v>79.32</v>
      </c>
      <c r="K24" s="207">
        <v>220462.8</v>
      </c>
      <c r="L24" s="207" t="e">
        <f>K24/#REF!*100</f>
        <v>#REF!</v>
      </c>
      <c r="M24" s="207">
        <f t="shared" si="5"/>
        <v>1044.52</v>
      </c>
      <c r="N24" s="208">
        <f>H24/H61*100</f>
        <v>0.91</v>
      </c>
      <c r="O24" s="205">
        <v>20655.2</v>
      </c>
      <c r="P24" s="193">
        <f>O24/O61*100</f>
        <v>0.84</v>
      </c>
    </row>
    <row r="25" spans="1:16" ht="16.5" customHeight="1" outlineLevel="1">
      <c r="A25" s="6" t="s">
        <v>42</v>
      </c>
      <c r="B25" s="7" t="s">
        <v>43</v>
      </c>
      <c r="C25" s="8">
        <f>C27+C29</f>
        <v>315602.7</v>
      </c>
      <c r="D25" s="194">
        <f aca="true" t="shared" si="6" ref="D25:M25">SUM(D26:D29)</f>
        <v>134877</v>
      </c>
      <c r="E25" s="195" t="e">
        <f t="shared" si="6"/>
        <v>#REF!</v>
      </c>
      <c r="F25" s="195">
        <f t="shared" si="6"/>
        <v>80.36</v>
      </c>
      <c r="G25" s="195">
        <f>D25/D61*100</f>
        <v>5.57</v>
      </c>
      <c r="H25" s="194">
        <f t="shared" si="6"/>
        <v>54620</v>
      </c>
      <c r="I25" s="209" t="e">
        <f t="shared" si="6"/>
        <v>#REF!</v>
      </c>
      <c r="J25" s="209">
        <f t="shared" si="6"/>
        <v>127.96</v>
      </c>
      <c r="K25" s="209">
        <f t="shared" si="6"/>
        <v>110917.5</v>
      </c>
      <c r="L25" s="209" t="e">
        <f t="shared" si="6"/>
        <v>#REF!</v>
      </c>
      <c r="M25" s="209">
        <f t="shared" si="6"/>
        <v>531.83</v>
      </c>
      <c r="N25" s="210">
        <f>H25/H61*100</f>
        <v>2.35</v>
      </c>
      <c r="O25" s="194">
        <f>SUM(O26:O29)</f>
        <v>17141.4</v>
      </c>
      <c r="P25" s="196">
        <f>SUM(P26:P29)</f>
        <v>0.69</v>
      </c>
    </row>
    <row r="26" spans="1:16" ht="12.75" outlineLevel="1">
      <c r="A26" s="173" t="s">
        <v>44</v>
      </c>
      <c r="B26" s="174" t="s">
        <v>45</v>
      </c>
      <c r="C26" s="175"/>
      <c r="D26" s="176">
        <v>26401</v>
      </c>
      <c r="E26" s="177"/>
      <c r="F26" s="177"/>
      <c r="G26" s="177">
        <f>D26/D61*100</f>
        <v>1.09</v>
      </c>
      <c r="H26" s="176">
        <v>0</v>
      </c>
      <c r="I26" s="178"/>
      <c r="J26" s="178"/>
      <c r="K26" s="178"/>
      <c r="L26" s="178"/>
      <c r="M26" s="178"/>
      <c r="N26" s="179">
        <f>H26/H61*100</f>
        <v>0</v>
      </c>
      <c r="O26" s="176">
        <v>0</v>
      </c>
      <c r="P26" s="180">
        <f>O26/O61*100</f>
        <v>0</v>
      </c>
    </row>
    <row r="27" spans="1:16" ht="12.75" outlineLevel="1">
      <c r="A27" s="9" t="s">
        <v>46</v>
      </c>
      <c r="B27" s="10" t="s">
        <v>47</v>
      </c>
      <c r="C27" s="11">
        <v>283124</v>
      </c>
      <c r="D27" s="181">
        <v>91712</v>
      </c>
      <c r="E27" s="182" t="e">
        <f>#REF!/C27*100</f>
        <v>#REF!</v>
      </c>
      <c r="F27" s="182">
        <f>D27/C27*100</f>
        <v>32.39</v>
      </c>
      <c r="G27" s="182">
        <f>D27/D61*100</f>
        <v>3.79</v>
      </c>
      <c r="H27" s="181">
        <v>40311</v>
      </c>
      <c r="I27" s="183" t="e">
        <f>#REF!/#REF!*100</f>
        <v>#REF!</v>
      </c>
      <c r="J27" s="183">
        <f>H27/D27*100</f>
        <v>43.95</v>
      </c>
      <c r="K27" s="183">
        <v>61168.8</v>
      </c>
      <c r="L27" s="183" t="e">
        <f>K27/#REF!*100</f>
        <v>#REF!</v>
      </c>
      <c r="M27" s="183">
        <f t="shared" si="5"/>
        <v>151.74</v>
      </c>
      <c r="N27" s="184">
        <f>H27/H61*100</f>
        <v>1.74</v>
      </c>
      <c r="O27" s="181">
        <v>2805.5</v>
      </c>
      <c r="P27" s="185">
        <f>O27/O61*100</f>
        <v>0.11</v>
      </c>
    </row>
    <row r="28" spans="1:16" ht="12.75" outlineLevel="1">
      <c r="A28" s="9" t="s">
        <v>48</v>
      </c>
      <c r="B28" s="10" t="s">
        <v>49</v>
      </c>
      <c r="C28" s="11"/>
      <c r="D28" s="181">
        <v>1184.5</v>
      </c>
      <c r="E28" s="182"/>
      <c r="F28" s="182"/>
      <c r="G28" s="182">
        <f>D28/D61*100</f>
        <v>0.05</v>
      </c>
      <c r="H28" s="181">
        <v>1220.4</v>
      </c>
      <c r="I28" s="183" t="e">
        <f>#REF!/#REF!*100</f>
        <v>#REF!</v>
      </c>
      <c r="J28" s="183"/>
      <c r="K28" s="183"/>
      <c r="L28" s="183"/>
      <c r="M28" s="183"/>
      <c r="N28" s="184">
        <f>H28/H61*100</f>
        <v>0.05</v>
      </c>
      <c r="O28" s="181">
        <v>1252.9</v>
      </c>
      <c r="P28" s="185">
        <f>O28/O61*100</f>
        <v>0.05</v>
      </c>
    </row>
    <row r="29" spans="1:16" ht="12.75">
      <c r="A29" s="186" t="s">
        <v>50</v>
      </c>
      <c r="B29" s="187" t="s">
        <v>51</v>
      </c>
      <c r="C29" s="188">
        <v>32478.7</v>
      </c>
      <c r="D29" s="189">
        <v>15579.5</v>
      </c>
      <c r="E29" s="190" t="e">
        <f>#REF!/C29*100</f>
        <v>#REF!</v>
      </c>
      <c r="F29" s="190">
        <f>D29/C29*100</f>
        <v>47.97</v>
      </c>
      <c r="G29" s="190">
        <f>D29/D61*100</f>
        <v>0.64</v>
      </c>
      <c r="H29" s="189">
        <v>13088.6</v>
      </c>
      <c r="I29" s="191" t="e">
        <f>#REF!/#REF!*100</f>
        <v>#REF!</v>
      </c>
      <c r="J29" s="191">
        <f aca="true" t="shared" si="7" ref="J29:J48">H29/D29*100</f>
        <v>84.01</v>
      </c>
      <c r="K29" s="191">
        <v>49748.7</v>
      </c>
      <c r="L29" s="191" t="e">
        <f>K29/#REF!*100</f>
        <v>#REF!</v>
      </c>
      <c r="M29" s="191">
        <f t="shared" si="5"/>
        <v>380.09</v>
      </c>
      <c r="N29" s="192">
        <f>H29/H61*100</f>
        <v>0.56</v>
      </c>
      <c r="O29" s="189">
        <v>13083</v>
      </c>
      <c r="P29" s="193">
        <f>O29/O61*100</f>
        <v>0.53</v>
      </c>
    </row>
    <row r="30" spans="1:16" ht="17.25" customHeight="1" outlineLevel="1">
      <c r="A30" s="6" t="s">
        <v>52</v>
      </c>
      <c r="B30" s="7" t="s">
        <v>53</v>
      </c>
      <c r="C30" s="8" t="e">
        <f>#REF!+#REF!+C31</f>
        <v>#REF!</v>
      </c>
      <c r="D30" s="168">
        <f>D31</f>
        <v>175</v>
      </c>
      <c r="E30" s="169" t="e">
        <f aca="true" t="shared" si="8" ref="E30:N30">E31</f>
        <v>#REF!</v>
      </c>
      <c r="F30" s="169">
        <f t="shared" si="8"/>
        <v>0.96</v>
      </c>
      <c r="G30" s="169">
        <f>G31</f>
        <v>0.01</v>
      </c>
      <c r="H30" s="168">
        <f t="shared" si="8"/>
        <v>175</v>
      </c>
      <c r="I30" s="169" t="e">
        <f t="shared" si="8"/>
        <v>#REF!</v>
      </c>
      <c r="J30" s="169">
        <f t="shared" si="8"/>
        <v>100</v>
      </c>
      <c r="K30" s="169">
        <f t="shared" si="8"/>
        <v>25578</v>
      </c>
      <c r="L30" s="169" t="e">
        <f t="shared" si="8"/>
        <v>#REF!</v>
      </c>
      <c r="M30" s="169">
        <f t="shared" si="8"/>
        <v>14616</v>
      </c>
      <c r="N30" s="169">
        <f t="shared" si="8"/>
        <v>0.01</v>
      </c>
      <c r="O30" s="168">
        <f>O31</f>
        <v>175</v>
      </c>
      <c r="P30" s="211">
        <f>P31</f>
        <v>0.01</v>
      </c>
    </row>
    <row r="31" spans="1:16" ht="14.25" customHeight="1">
      <c r="A31" s="12" t="s">
        <v>54</v>
      </c>
      <c r="B31" s="13" t="s">
        <v>55</v>
      </c>
      <c r="C31" s="14">
        <v>18219.5</v>
      </c>
      <c r="D31" s="212">
        <v>175</v>
      </c>
      <c r="E31" s="213" t="e">
        <f>#REF!/C31*100</f>
        <v>#REF!</v>
      </c>
      <c r="F31" s="213">
        <f>D31/C31*100</f>
        <v>0.96</v>
      </c>
      <c r="G31" s="213">
        <f>D31/D61*100</f>
        <v>0.01</v>
      </c>
      <c r="H31" s="212">
        <v>175</v>
      </c>
      <c r="I31" s="214" t="e">
        <f>#REF!/#REF!*100</f>
        <v>#REF!</v>
      </c>
      <c r="J31" s="214">
        <f t="shared" si="7"/>
        <v>100</v>
      </c>
      <c r="K31" s="214">
        <v>25578</v>
      </c>
      <c r="L31" s="214" t="e">
        <f>K31/#REF!*100</f>
        <v>#REF!</v>
      </c>
      <c r="M31" s="214">
        <f t="shared" si="5"/>
        <v>14616</v>
      </c>
      <c r="N31" s="215">
        <f>H31/H61*100</f>
        <v>0.01</v>
      </c>
      <c r="O31" s="212">
        <v>175</v>
      </c>
      <c r="P31" s="216">
        <f>O31/O61*100</f>
        <v>0.01</v>
      </c>
    </row>
    <row r="32" spans="1:16" ht="12.75" outlineLevel="1">
      <c r="A32" s="6" t="s">
        <v>56</v>
      </c>
      <c r="B32" s="7" t="s">
        <v>57</v>
      </c>
      <c r="C32" s="8" t="e">
        <f>C34+#REF!+#REF!+#REF!+#REF!+C35+C36</f>
        <v>#REF!</v>
      </c>
      <c r="D32" s="168">
        <f>D34+D35+D36+D33</f>
        <v>1318375.2</v>
      </c>
      <c r="E32" s="169" t="e">
        <f>E34+E35+E36+E33</f>
        <v>#REF!</v>
      </c>
      <c r="F32" s="169">
        <f>F34+F35+F36+F33</f>
        <v>148.09</v>
      </c>
      <c r="G32" s="169">
        <f>D32/D61*100+0.01</f>
        <v>54.5</v>
      </c>
      <c r="H32" s="168">
        <f>H34+H35+H36+H33</f>
        <v>1191646.7</v>
      </c>
      <c r="I32" s="170" t="e">
        <f>#REF!/#REF!*100</f>
        <v>#REF!</v>
      </c>
      <c r="J32" s="170">
        <f t="shared" si="7"/>
        <v>90.39</v>
      </c>
      <c r="K32" s="170">
        <v>6105909.9</v>
      </c>
      <c r="L32" s="170" t="e">
        <f>K32/#REF!*100</f>
        <v>#REF!</v>
      </c>
      <c r="M32" s="170">
        <f t="shared" si="5"/>
        <v>512.39</v>
      </c>
      <c r="N32" s="171">
        <f>N33+N34+N35+N36</f>
        <v>51.4</v>
      </c>
      <c r="O32" s="168">
        <f>O34+O35+O36+O33</f>
        <v>1237782.6</v>
      </c>
      <c r="P32" s="172">
        <f>P33+P34+P35+P36</f>
        <v>50.35</v>
      </c>
    </row>
    <row r="33" spans="1:16" ht="12.75" outlineLevel="1">
      <c r="A33" s="173" t="s">
        <v>58</v>
      </c>
      <c r="B33" s="174" t="s">
        <v>59</v>
      </c>
      <c r="C33" s="175"/>
      <c r="D33" s="176">
        <v>342693.5</v>
      </c>
      <c r="E33" s="177"/>
      <c r="F33" s="177"/>
      <c r="G33" s="177">
        <f>D33/D61*100</f>
        <v>14.16</v>
      </c>
      <c r="H33" s="176">
        <v>249122.6</v>
      </c>
      <c r="I33" s="178"/>
      <c r="J33" s="178">
        <f t="shared" si="7"/>
        <v>72.7</v>
      </c>
      <c r="K33" s="178"/>
      <c r="L33" s="178"/>
      <c r="M33" s="178"/>
      <c r="N33" s="179">
        <f>H33/H61*100</f>
        <v>10.74</v>
      </c>
      <c r="O33" s="176">
        <v>252264.3</v>
      </c>
      <c r="P33" s="180">
        <f>O33/O61*100-0.01</f>
        <v>10.25</v>
      </c>
    </row>
    <row r="34" spans="1:16" ht="12.75" outlineLevel="1">
      <c r="A34" s="9" t="s">
        <v>60</v>
      </c>
      <c r="B34" s="10" t="s">
        <v>61</v>
      </c>
      <c r="C34" s="11">
        <v>1075114.8</v>
      </c>
      <c r="D34" s="181">
        <v>929630.5</v>
      </c>
      <c r="E34" s="182" t="e">
        <f>#REF!/C34*100</f>
        <v>#REF!</v>
      </c>
      <c r="F34" s="182">
        <f>D34/C34*100</f>
        <v>86.47</v>
      </c>
      <c r="G34" s="182">
        <f>D34/D61*100+0.01</f>
        <v>38.43</v>
      </c>
      <c r="H34" s="181">
        <v>896867.4</v>
      </c>
      <c r="I34" s="183" t="e">
        <f>#REF!/#REF!*100</f>
        <v>#REF!</v>
      </c>
      <c r="J34" s="183">
        <f t="shared" si="7"/>
        <v>96.48</v>
      </c>
      <c r="K34" s="183">
        <v>1349120.6</v>
      </c>
      <c r="L34" s="183" t="e">
        <f>K34/#REF!*100</f>
        <v>#REF!</v>
      </c>
      <c r="M34" s="183">
        <f t="shared" si="5"/>
        <v>150.43</v>
      </c>
      <c r="N34" s="184">
        <f>H34/H61*100+0.02</f>
        <v>38.69</v>
      </c>
      <c r="O34" s="181">
        <v>939447.7</v>
      </c>
      <c r="P34" s="185">
        <f>O34/O61*100</f>
        <v>38.22</v>
      </c>
    </row>
    <row r="35" spans="1:16" ht="14.25" customHeight="1" outlineLevel="1">
      <c r="A35" s="9" t="s">
        <v>62</v>
      </c>
      <c r="B35" s="10" t="s">
        <v>63</v>
      </c>
      <c r="C35" s="11">
        <v>39714</v>
      </c>
      <c r="D35" s="181">
        <v>23351.4</v>
      </c>
      <c r="E35" s="182" t="e">
        <f>#REF!/C35*100</f>
        <v>#REF!</v>
      </c>
      <c r="F35" s="182">
        <f>D35/C35*100</f>
        <v>58.8</v>
      </c>
      <c r="G35" s="182">
        <f>D35/D61*100</f>
        <v>0.97</v>
      </c>
      <c r="H35" s="181">
        <v>22697.6</v>
      </c>
      <c r="I35" s="183" t="e">
        <f>#REF!/#REF!*100</f>
        <v>#REF!</v>
      </c>
      <c r="J35" s="183">
        <f t="shared" si="7"/>
        <v>97.2</v>
      </c>
      <c r="K35" s="183">
        <v>54295.6</v>
      </c>
      <c r="L35" s="183" t="e">
        <f>K35/#REF!*100</f>
        <v>#REF!</v>
      </c>
      <c r="M35" s="183">
        <f t="shared" si="5"/>
        <v>239.21</v>
      </c>
      <c r="N35" s="184">
        <f>H35/H61*100</f>
        <v>0.98</v>
      </c>
      <c r="O35" s="181">
        <v>22980.7</v>
      </c>
      <c r="P35" s="185">
        <f>O35/O61*100</f>
        <v>0.94</v>
      </c>
    </row>
    <row r="36" spans="1:16" ht="16.5" customHeight="1">
      <c r="A36" s="186" t="s">
        <v>64</v>
      </c>
      <c r="B36" s="187" t="s">
        <v>65</v>
      </c>
      <c r="C36" s="188">
        <v>804288.4</v>
      </c>
      <c r="D36" s="189">
        <v>22699.8</v>
      </c>
      <c r="E36" s="190" t="e">
        <f>#REF!/C36*100</f>
        <v>#REF!</v>
      </c>
      <c r="F36" s="190">
        <f>D36/C36*100</f>
        <v>2.82</v>
      </c>
      <c r="G36" s="190">
        <f>D36/D61*100</f>
        <v>0.94</v>
      </c>
      <c r="H36" s="189">
        <v>22959.1</v>
      </c>
      <c r="I36" s="191" t="e">
        <f>#REF!/#REF!*100</f>
        <v>#REF!</v>
      </c>
      <c r="J36" s="191">
        <f t="shared" si="7"/>
        <v>101.14</v>
      </c>
      <c r="K36" s="191">
        <v>1048385.5</v>
      </c>
      <c r="L36" s="191" t="e">
        <f>K36/#REF!*100</f>
        <v>#REF!</v>
      </c>
      <c r="M36" s="191">
        <f t="shared" si="5"/>
        <v>4566.32</v>
      </c>
      <c r="N36" s="192">
        <f>H36/H61*100</f>
        <v>0.99</v>
      </c>
      <c r="O36" s="189">
        <v>23089.9</v>
      </c>
      <c r="P36" s="193">
        <f>O36/O61*100</f>
        <v>0.94</v>
      </c>
    </row>
    <row r="37" spans="1:16" ht="12.75" outlineLevel="1">
      <c r="A37" s="6" t="s">
        <v>66</v>
      </c>
      <c r="B37" s="7" t="s">
        <v>326</v>
      </c>
      <c r="C37" s="8" t="e">
        <f>C38+#REF!</f>
        <v>#REF!</v>
      </c>
      <c r="D37" s="168">
        <f>D38+D39</f>
        <v>41693.1</v>
      </c>
      <c r="E37" s="169" t="e">
        <f aca="true" t="shared" si="9" ref="E37:P37">E38+E39</f>
        <v>#REF!</v>
      </c>
      <c r="F37" s="169">
        <f t="shared" si="9"/>
        <v>4.04</v>
      </c>
      <c r="G37" s="169">
        <f>D37/D61*100</f>
        <v>1.72</v>
      </c>
      <c r="H37" s="168">
        <f>H38+H39</f>
        <v>9591.3</v>
      </c>
      <c r="I37" s="169" t="e">
        <f t="shared" si="9"/>
        <v>#REF!</v>
      </c>
      <c r="J37" s="169">
        <f t="shared" si="9"/>
        <v>114.84</v>
      </c>
      <c r="K37" s="169">
        <f t="shared" si="9"/>
        <v>1445931.4</v>
      </c>
      <c r="L37" s="169" t="e">
        <f t="shared" si="9"/>
        <v>#REF!</v>
      </c>
      <c r="M37" s="169">
        <f t="shared" si="9"/>
        <v>40326.07</v>
      </c>
      <c r="N37" s="169">
        <f t="shared" si="9"/>
        <v>0.41</v>
      </c>
      <c r="O37" s="168">
        <f t="shared" si="9"/>
        <v>9652.1</v>
      </c>
      <c r="P37" s="211">
        <f t="shared" si="9"/>
        <v>0.4</v>
      </c>
    </row>
    <row r="38" spans="1:16" ht="12.75" outlineLevel="1">
      <c r="A38" s="173" t="s">
        <v>67</v>
      </c>
      <c r="B38" s="174" t="s">
        <v>68</v>
      </c>
      <c r="C38" s="175">
        <v>890893.1</v>
      </c>
      <c r="D38" s="176">
        <v>35966.1</v>
      </c>
      <c r="E38" s="177" t="e">
        <f>#REF!/C38*100</f>
        <v>#REF!</v>
      </c>
      <c r="F38" s="177">
        <f>D38/C38*100</f>
        <v>4.04</v>
      </c>
      <c r="G38" s="177">
        <f>D38/D61*100</f>
        <v>1.49</v>
      </c>
      <c r="H38" s="176">
        <v>3585.6</v>
      </c>
      <c r="I38" s="178" t="e">
        <f>#REF!/#REF!*100</f>
        <v>#REF!</v>
      </c>
      <c r="J38" s="178">
        <f t="shared" si="7"/>
        <v>9.97</v>
      </c>
      <c r="K38" s="178">
        <v>1445931.4</v>
      </c>
      <c r="L38" s="178" t="e">
        <f>K38/#REF!*100</f>
        <v>#REF!</v>
      </c>
      <c r="M38" s="178">
        <f t="shared" si="5"/>
        <v>40326.07</v>
      </c>
      <c r="N38" s="179">
        <f>H38/H61*100</f>
        <v>0.15</v>
      </c>
      <c r="O38" s="176">
        <v>3585.6</v>
      </c>
      <c r="P38" s="180">
        <f>O38/O61*100</f>
        <v>0.15</v>
      </c>
    </row>
    <row r="39" spans="1:16" ht="12.75">
      <c r="A39" s="217" t="s">
        <v>69</v>
      </c>
      <c r="B39" s="187" t="s">
        <v>70</v>
      </c>
      <c r="C39" s="188"/>
      <c r="D39" s="189">
        <v>5727</v>
      </c>
      <c r="E39" s="190"/>
      <c r="F39" s="190"/>
      <c r="G39" s="190">
        <f>D39/D61*100</f>
        <v>0.24</v>
      </c>
      <c r="H39" s="189">
        <v>6005.7</v>
      </c>
      <c r="I39" s="191" t="e">
        <f>#REF!/#REF!*100</f>
        <v>#REF!</v>
      </c>
      <c r="J39" s="191">
        <f t="shared" si="7"/>
        <v>104.87</v>
      </c>
      <c r="K39" s="191"/>
      <c r="L39" s="191"/>
      <c r="M39" s="191"/>
      <c r="N39" s="192">
        <f>H39/H61*100</f>
        <v>0.26</v>
      </c>
      <c r="O39" s="189">
        <v>6066.5</v>
      </c>
      <c r="P39" s="193">
        <f>O39/O61*100</f>
        <v>0.25</v>
      </c>
    </row>
    <row r="40" spans="1:16" ht="16.5" customHeight="1" outlineLevel="1">
      <c r="A40" s="6" t="s">
        <v>71</v>
      </c>
      <c r="B40" s="7" t="s">
        <v>72</v>
      </c>
      <c r="C40" s="8" t="e">
        <f>C41+#REF!+C42+#REF!+#REF!+C43</f>
        <v>#REF!</v>
      </c>
      <c r="D40" s="168">
        <f>D41+D42+D43</f>
        <v>174657</v>
      </c>
      <c r="E40" s="169" t="e">
        <f aca="true" t="shared" si="10" ref="E40:P40">E41+E42+E43</f>
        <v>#REF!</v>
      </c>
      <c r="F40" s="169">
        <f t="shared" si="10"/>
        <v>28.97</v>
      </c>
      <c r="G40" s="169">
        <f>D40/D61*100</f>
        <v>7.22</v>
      </c>
      <c r="H40" s="168">
        <f>H41+H42+H43</f>
        <v>158441.2</v>
      </c>
      <c r="I40" s="169" t="e">
        <f t="shared" si="10"/>
        <v>#REF!</v>
      </c>
      <c r="J40" s="169">
        <f t="shared" si="10"/>
        <v>306.92</v>
      </c>
      <c r="K40" s="169">
        <f t="shared" si="10"/>
        <v>6111975.4</v>
      </c>
      <c r="L40" s="169" t="e">
        <f t="shared" si="10"/>
        <v>#REF!</v>
      </c>
      <c r="M40" s="169">
        <f t="shared" si="10"/>
        <v>35627.49</v>
      </c>
      <c r="N40" s="169">
        <f>H40/H61*100</f>
        <v>6.83</v>
      </c>
      <c r="O40" s="168">
        <f t="shared" si="10"/>
        <v>105889.9</v>
      </c>
      <c r="P40" s="211">
        <f t="shared" si="10"/>
        <v>4.32</v>
      </c>
    </row>
    <row r="41" spans="1:16" ht="15.75" customHeight="1" outlineLevel="1">
      <c r="A41" s="173" t="s">
        <v>73</v>
      </c>
      <c r="B41" s="174" t="s">
        <v>74</v>
      </c>
      <c r="C41" s="175">
        <v>3185352.7</v>
      </c>
      <c r="D41" s="176">
        <v>139017.6</v>
      </c>
      <c r="E41" s="177" t="e">
        <f>#REF!/C41*100</f>
        <v>#REF!</v>
      </c>
      <c r="F41" s="177">
        <f>D41/C41*100</f>
        <v>4.36</v>
      </c>
      <c r="G41" s="177">
        <f>D41/D61*100</f>
        <v>5.75</v>
      </c>
      <c r="H41" s="176">
        <v>117114.2</v>
      </c>
      <c r="I41" s="178" t="e">
        <f>#REF!/#REF!*100</f>
        <v>#REF!</v>
      </c>
      <c r="J41" s="178">
        <f t="shared" si="7"/>
        <v>84.24</v>
      </c>
      <c r="K41" s="178">
        <v>4315795.6</v>
      </c>
      <c r="L41" s="178" t="e">
        <f>K41/#REF!*100</f>
        <v>#REF!</v>
      </c>
      <c r="M41" s="178">
        <f t="shared" si="5"/>
        <v>3685.12</v>
      </c>
      <c r="N41" s="179">
        <f>H41/H61*100</f>
        <v>5.05</v>
      </c>
      <c r="O41" s="176">
        <v>60832.6</v>
      </c>
      <c r="P41" s="180">
        <f>O41/O61*100</f>
        <v>2.48</v>
      </c>
    </row>
    <row r="42" spans="1:16" ht="12.75" outlineLevel="1">
      <c r="A42" s="9" t="s">
        <v>75</v>
      </c>
      <c r="B42" s="10" t="s">
        <v>76</v>
      </c>
      <c r="C42" s="11">
        <v>125647.5</v>
      </c>
      <c r="D42" s="181">
        <v>30820.8</v>
      </c>
      <c r="E42" s="182" t="e">
        <f>#REF!/C42*100</f>
        <v>#REF!</v>
      </c>
      <c r="F42" s="182">
        <f>D42/C42*100</f>
        <v>24.53</v>
      </c>
      <c r="G42" s="182">
        <f>D42/D61*100</f>
        <v>1.27</v>
      </c>
      <c r="H42" s="181">
        <v>36267</v>
      </c>
      <c r="I42" s="183" t="e">
        <f>#REF!/#REF!*100</f>
        <v>#REF!</v>
      </c>
      <c r="J42" s="183">
        <f t="shared" si="7"/>
        <v>117.67</v>
      </c>
      <c r="K42" s="183">
        <v>209064.6</v>
      </c>
      <c r="L42" s="183" t="e">
        <f>K42/#REF!*100</f>
        <v>#REF!</v>
      </c>
      <c r="M42" s="183">
        <f t="shared" si="5"/>
        <v>576.46</v>
      </c>
      <c r="N42" s="184">
        <f>H42/H61*100</f>
        <v>1.56</v>
      </c>
      <c r="O42" s="181">
        <v>39957</v>
      </c>
      <c r="P42" s="185">
        <f>O42/O61*100</f>
        <v>1.63</v>
      </c>
    </row>
    <row r="43" spans="1:16" ht="12.75">
      <c r="A43" s="186" t="s">
        <v>77</v>
      </c>
      <c r="B43" s="187" t="s">
        <v>78</v>
      </c>
      <c r="C43" s="188">
        <v>5931970.4</v>
      </c>
      <c r="D43" s="189">
        <v>4818.6</v>
      </c>
      <c r="E43" s="190" t="e">
        <f>#REF!/C43*100</f>
        <v>#REF!</v>
      </c>
      <c r="F43" s="190">
        <f>D43/C43*100</f>
        <v>0.08</v>
      </c>
      <c r="G43" s="190">
        <f>D43/D61*100</f>
        <v>0.2</v>
      </c>
      <c r="H43" s="189">
        <v>5060</v>
      </c>
      <c r="I43" s="191" t="e">
        <f>#REF!/#REF!*100</f>
        <v>#REF!</v>
      </c>
      <c r="J43" s="191">
        <f t="shared" si="7"/>
        <v>105.01</v>
      </c>
      <c r="K43" s="191">
        <v>1587115.2</v>
      </c>
      <c r="L43" s="191" t="e">
        <f>K43/#REF!*100</f>
        <v>#REF!</v>
      </c>
      <c r="M43" s="191">
        <f t="shared" si="5"/>
        <v>31365.91</v>
      </c>
      <c r="N43" s="192">
        <f>H43/H61*100</f>
        <v>0.22</v>
      </c>
      <c r="O43" s="189">
        <v>5100.3</v>
      </c>
      <c r="P43" s="193">
        <f>O43/O61*100</f>
        <v>0.21</v>
      </c>
    </row>
    <row r="44" spans="1:16" ht="12.75" outlineLevel="1">
      <c r="A44" s="6" t="s">
        <v>79</v>
      </c>
      <c r="B44" s="7" t="s">
        <v>80</v>
      </c>
      <c r="C44" s="8" t="e">
        <f>C45+#REF!+C46+#REF!+C48</f>
        <v>#REF!</v>
      </c>
      <c r="D44" s="168">
        <f>D45+D46+D48+D47</f>
        <v>241267.9</v>
      </c>
      <c r="E44" s="169" t="e">
        <f>E45+E46+E48+E47</f>
        <v>#REF!</v>
      </c>
      <c r="F44" s="169">
        <f>F45+F46+F48+F47</f>
        <v>13.06</v>
      </c>
      <c r="G44" s="169">
        <f>D44/D61*100</f>
        <v>9.97</v>
      </c>
      <c r="H44" s="168">
        <f>H45+H46+H48+H47</f>
        <v>213794.3</v>
      </c>
      <c r="I44" s="169" t="e">
        <f aca="true" t="shared" si="11" ref="I44:O44">I45+I46+I48+I47</f>
        <v>#REF!</v>
      </c>
      <c r="J44" s="169" t="e">
        <f t="shared" si="11"/>
        <v>#DIV/0!</v>
      </c>
      <c r="K44" s="169">
        <f t="shared" si="11"/>
        <v>6884884.2</v>
      </c>
      <c r="L44" s="169" t="e">
        <f t="shared" si="11"/>
        <v>#REF!</v>
      </c>
      <c r="M44" s="169" t="e">
        <f t="shared" si="11"/>
        <v>#DIV/0!</v>
      </c>
      <c r="N44" s="169">
        <f>N45+N46+N48+N47</f>
        <v>9.21</v>
      </c>
      <c r="O44" s="168">
        <f t="shared" si="11"/>
        <v>215931.2</v>
      </c>
      <c r="P44" s="172">
        <f>P45+P46+P47+P48</f>
        <v>8.78</v>
      </c>
    </row>
    <row r="45" spans="1:16" ht="12.75" outlineLevel="1">
      <c r="A45" s="173" t="s">
        <v>81</v>
      </c>
      <c r="B45" s="174" t="s">
        <v>82</v>
      </c>
      <c r="C45" s="175">
        <v>34640</v>
      </c>
      <c r="D45" s="176">
        <v>3533.2</v>
      </c>
      <c r="E45" s="177" t="e">
        <f>#REF!/C45*100</f>
        <v>#REF!</v>
      </c>
      <c r="F45" s="177">
        <f>D45/C45*100</f>
        <v>10.2</v>
      </c>
      <c r="G45" s="177">
        <f>D45/D61*100</f>
        <v>0.15</v>
      </c>
      <c r="H45" s="176">
        <v>3533.2</v>
      </c>
      <c r="I45" s="178" t="e">
        <f>#REF!/#REF!*100</f>
        <v>#REF!</v>
      </c>
      <c r="J45" s="178">
        <f t="shared" si="7"/>
        <v>100</v>
      </c>
      <c r="K45" s="178">
        <v>54368</v>
      </c>
      <c r="L45" s="178" t="e">
        <f>K45/#REF!*100</f>
        <v>#REF!</v>
      </c>
      <c r="M45" s="178">
        <f t="shared" si="5"/>
        <v>1538.78</v>
      </c>
      <c r="N45" s="179">
        <f>H45/H61*100</f>
        <v>0.15</v>
      </c>
      <c r="O45" s="176">
        <v>3533.2</v>
      </c>
      <c r="P45" s="180">
        <f>O45/O61*100</f>
        <v>0.14</v>
      </c>
    </row>
    <row r="46" spans="1:16" ht="15" customHeight="1" outlineLevel="1">
      <c r="A46" s="9" t="s">
        <v>83</v>
      </c>
      <c r="B46" s="10" t="s">
        <v>84</v>
      </c>
      <c r="C46" s="11">
        <v>5478900.4</v>
      </c>
      <c r="D46" s="181">
        <v>156684.2</v>
      </c>
      <c r="E46" s="182" t="e">
        <f>#REF!/C46*100</f>
        <v>#REF!</v>
      </c>
      <c r="F46" s="182">
        <f>D46/C46*100</f>
        <v>2.86</v>
      </c>
      <c r="G46" s="182">
        <f>D46/D61*100</f>
        <v>6.48</v>
      </c>
      <c r="H46" s="181">
        <v>128064.4</v>
      </c>
      <c r="I46" s="183" t="e">
        <f>#REF!/#REF!*100</f>
        <v>#REF!</v>
      </c>
      <c r="J46" s="183">
        <f t="shared" si="7"/>
        <v>81.73</v>
      </c>
      <c r="K46" s="183">
        <v>6397298.4</v>
      </c>
      <c r="L46" s="183" t="e">
        <f>K46/#REF!*100</f>
        <v>#REF!</v>
      </c>
      <c r="M46" s="183">
        <f t="shared" si="5"/>
        <v>4995.38</v>
      </c>
      <c r="N46" s="184">
        <f>H46/H61*100</f>
        <v>5.52</v>
      </c>
      <c r="O46" s="181">
        <v>131347.5</v>
      </c>
      <c r="P46" s="185">
        <f>O46/O61*100</f>
        <v>5.34</v>
      </c>
    </row>
    <row r="47" spans="1:16" ht="15" customHeight="1" outlineLevel="1">
      <c r="A47" s="9" t="s">
        <v>85</v>
      </c>
      <c r="B47" s="10" t="s">
        <v>327</v>
      </c>
      <c r="C47" s="11"/>
      <c r="D47" s="181">
        <v>81050.5</v>
      </c>
      <c r="E47" s="182"/>
      <c r="F47" s="182"/>
      <c r="G47" s="182">
        <f>D47/D61*100</f>
        <v>3.35</v>
      </c>
      <c r="H47" s="181">
        <v>82196.7</v>
      </c>
      <c r="I47" s="183"/>
      <c r="J47" s="183">
        <f t="shared" si="7"/>
        <v>101.41</v>
      </c>
      <c r="K47" s="183"/>
      <c r="L47" s="183"/>
      <c r="M47" s="183"/>
      <c r="N47" s="184">
        <f>H47/H61*100</f>
        <v>3.54</v>
      </c>
      <c r="O47" s="181">
        <v>81050.5</v>
      </c>
      <c r="P47" s="185">
        <f>O47/O61*100</f>
        <v>3.3</v>
      </c>
    </row>
    <row r="48" spans="1:16" ht="16.5" customHeight="1" hidden="1">
      <c r="A48" s="186" t="s">
        <v>86</v>
      </c>
      <c r="B48" s="187" t="s">
        <v>87</v>
      </c>
      <c r="C48" s="188">
        <v>336762.3</v>
      </c>
      <c r="D48" s="189"/>
      <c r="E48" s="190" t="e">
        <f>#REF!/C48*100</f>
        <v>#REF!</v>
      </c>
      <c r="F48" s="190">
        <f>D48/C48*100</f>
        <v>0</v>
      </c>
      <c r="G48" s="190">
        <f>D48/D61*100</f>
        <v>0</v>
      </c>
      <c r="H48" s="189"/>
      <c r="I48" s="191" t="e">
        <f>#REF!/#REF!*100</f>
        <v>#REF!</v>
      </c>
      <c r="J48" s="191" t="e">
        <f t="shared" si="7"/>
        <v>#DIV/0!</v>
      </c>
      <c r="K48" s="191">
        <v>433217.8</v>
      </c>
      <c r="L48" s="191" t="e">
        <f>K48/#REF!*100</f>
        <v>#REF!</v>
      </c>
      <c r="M48" s="191" t="e">
        <f t="shared" si="5"/>
        <v>#DIV/0!</v>
      </c>
      <c r="N48" s="192">
        <f>H48/H61*100</f>
        <v>0</v>
      </c>
      <c r="O48" s="189"/>
      <c r="P48" s="193">
        <f>O48/O61*100</f>
        <v>0</v>
      </c>
    </row>
    <row r="49" spans="1:16" ht="15.75" customHeight="1" outlineLevel="1">
      <c r="A49" s="6" t="s">
        <v>88</v>
      </c>
      <c r="B49" s="7" t="s">
        <v>89</v>
      </c>
      <c r="C49" s="8" t="e">
        <f>C50+#REF!+C52+C53</f>
        <v>#REF!</v>
      </c>
      <c r="D49" s="168">
        <f>D50+D51</f>
        <v>33912.9</v>
      </c>
      <c r="E49" s="169" t="e">
        <f aca="true" t="shared" si="12" ref="E49:P49">E50+E51</f>
        <v>#REF!</v>
      </c>
      <c r="F49" s="169">
        <f t="shared" si="12"/>
        <v>0.45</v>
      </c>
      <c r="G49" s="169">
        <f t="shared" si="12"/>
        <v>1.4</v>
      </c>
      <c r="H49" s="168">
        <f>H50+H51</f>
        <v>23357</v>
      </c>
      <c r="I49" s="169" t="e">
        <f t="shared" si="12"/>
        <v>#REF!</v>
      </c>
      <c r="J49" s="169">
        <f t="shared" si="12"/>
        <v>68.87</v>
      </c>
      <c r="K49" s="169">
        <f t="shared" si="12"/>
        <v>9740207.6</v>
      </c>
      <c r="L49" s="169" t="e">
        <f t="shared" si="12"/>
        <v>#REF!</v>
      </c>
      <c r="M49" s="169">
        <f t="shared" si="12"/>
        <v>41701.45</v>
      </c>
      <c r="N49" s="169">
        <f>N50+N51</f>
        <v>1.01</v>
      </c>
      <c r="O49" s="168">
        <f t="shared" si="12"/>
        <v>23885.2</v>
      </c>
      <c r="P49" s="211">
        <f t="shared" si="12"/>
        <v>0.97</v>
      </c>
    </row>
    <row r="50" spans="1:16" ht="12.75" outlineLevel="1">
      <c r="A50" s="173" t="s">
        <v>90</v>
      </c>
      <c r="B50" s="174" t="s">
        <v>91</v>
      </c>
      <c r="C50" s="175">
        <v>7482939.6</v>
      </c>
      <c r="D50" s="176">
        <v>33912.9</v>
      </c>
      <c r="E50" s="177" t="e">
        <f>#REF!/C50*100</f>
        <v>#REF!</v>
      </c>
      <c r="F50" s="177">
        <f>D50/C50*100</f>
        <v>0.45</v>
      </c>
      <c r="G50" s="177">
        <f>D50/D61*100</f>
        <v>1.4</v>
      </c>
      <c r="H50" s="176">
        <v>23357</v>
      </c>
      <c r="I50" s="178" t="e">
        <f>#REF!/#REF!*100</f>
        <v>#REF!</v>
      </c>
      <c r="J50" s="178">
        <f>H50/D50*100</f>
        <v>68.87</v>
      </c>
      <c r="K50" s="178">
        <v>9740207.6</v>
      </c>
      <c r="L50" s="178" t="e">
        <f>K50/#REF!*100</f>
        <v>#REF!</v>
      </c>
      <c r="M50" s="178">
        <f t="shared" si="5"/>
        <v>41701.45</v>
      </c>
      <c r="N50" s="179">
        <f>H50/H61*100</f>
        <v>1.01</v>
      </c>
      <c r="O50" s="176">
        <v>23885.2</v>
      </c>
      <c r="P50" s="180">
        <f>O50/O61*100</f>
        <v>0.97</v>
      </c>
    </row>
    <row r="51" spans="1:16" ht="12.75" hidden="1" outlineLevel="1">
      <c r="A51" s="186" t="s">
        <v>92</v>
      </c>
      <c r="B51" s="187" t="s">
        <v>93</v>
      </c>
      <c r="C51" s="188"/>
      <c r="D51" s="189">
        <v>0</v>
      </c>
      <c r="E51" s="190"/>
      <c r="F51" s="190"/>
      <c r="G51" s="190">
        <f>D51/D61*100</f>
        <v>0</v>
      </c>
      <c r="H51" s="189">
        <v>0</v>
      </c>
      <c r="I51" s="191"/>
      <c r="J51" s="191"/>
      <c r="K51" s="191"/>
      <c r="L51" s="191"/>
      <c r="M51" s="191"/>
      <c r="N51" s="192">
        <f>H51/H61*100</f>
        <v>0</v>
      </c>
      <c r="O51" s="189">
        <v>0</v>
      </c>
      <c r="P51" s="193">
        <f>O51/O61*100</f>
        <v>0</v>
      </c>
    </row>
    <row r="52" spans="1:16" ht="12.75" outlineLevel="1">
      <c r="A52" s="6" t="s">
        <v>94</v>
      </c>
      <c r="B52" s="7" t="s">
        <v>95</v>
      </c>
      <c r="C52" s="218">
        <v>8107527</v>
      </c>
      <c r="D52" s="168">
        <f>D53</f>
        <v>2766.8</v>
      </c>
      <c r="E52" s="169" t="e">
        <f aca="true" t="shared" si="13" ref="E52:P52">E53</f>
        <v>#REF!</v>
      </c>
      <c r="F52" s="169">
        <f t="shared" si="13"/>
        <v>1.27</v>
      </c>
      <c r="G52" s="169">
        <f t="shared" si="13"/>
        <v>0.11</v>
      </c>
      <c r="H52" s="168">
        <f t="shared" si="13"/>
        <v>2766.8</v>
      </c>
      <c r="I52" s="169" t="e">
        <f t="shared" si="13"/>
        <v>#REF!</v>
      </c>
      <c r="J52" s="169">
        <f t="shared" si="13"/>
        <v>100</v>
      </c>
      <c r="K52" s="169">
        <f t="shared" si="13"/>
        <v>71804.4</v>
      </c>
      <c r="L52" s="169" t="e">
        <f t="shared" si="13"/>
        <v>#REF!</v>
      </c>
      <c r="M52" s="169">
        <f t="shared" si="13"/>
        <v>2595.21</v>
      </c>
      <c r="N52" s="169">
        <f t="shared" si="13"/>
        <v>0.12</v>
      </c>
      <c r="O52" s="168">
        <f t="shared" si="13"/>
        <v>3043.5</v>
      </c>
      <c r="P52" s="211">
        <f t="shared" si="13"/>
        <v>0.12</v>
      </c>
    </row>
    <row r="53" spans="1:16" ht="12.75">
      <c r="A53" s="12" t="s">
        <v>96</v>
      </c>
      <c r="B53" s="13" t="s">
        <v>97</v>
      </c>
      <c r="C53" s="14">
        <v>217197.9</v>
      </c>
      <c r="D53" s="212">
        <v>2766.8</v>
      </c>
      <c r="E53" s="213" t="e">
        <f>#REF!/C53*100</f>
        <v>#REF!</v>
      </c>
      <c r="F53" s="213">
        <f>D53/C53*100</f>
        <v>1.27</v>
      </c>
      <c r="G53" s="213">
        <f>D53/D61*100</f>
        <v>0.11</v>
      </c>
      <c r="H53" s="212">
        <v>2766.8</v>
      </c>
      <c r="I53" s="214" t="e">
        <f>#REF!/#REF!*100</f>
        <v>#REF!</v>
      </c>
      <c r="J53" s="214">
        <f>H53/D53*100</f>
        <v>100</v>
      </c>
      <c r="K53" s="214">
        <v>71804.4</v>
      </c>
      <c r="L53" s="214" t="e">
        <f>K53/#REF!*100</f>
        <v>#REF!</v>
      </c>
      <c r="M53" s="214">
        <f t="shared" si="5"/>
        <v>2595.21</v>
      </c>
      <c r="N53" s="215">
        <f>H53/H61*100</f>
        <v>0.12</v>
      </c>
      <c r="O53" s="212">
        <v>3043.5</v>
      </c>
      <c r="P53" s="216">
        <f>O53/O61*100</f>
        <v>0.12</v>
      </c>
    </row>
    <row r="54" spans="1:16" ht="12.75">
      <c r="A54" s="6" t="s">
        <v>98</v>
      </c>
      <c r="B54" s="7" t="s">
        <v>99</v>
      </c>
      <c r="C54" s="218"/>
      <c r="D54" s="168">
        <f>D55</f>
        <v>0</v>
      </c>
      <c r="E54" s="169">
        <f aca="true" t="shared" si="14" ref="E54:P54">E55</f>
        <v>0</v>
      </c>
      <c r="F54" s="169">
        <f t="shared" si="14"/>
        <v>0</v>
      </c>
      <c r="G54" s="169">
        <f>G55</f>
        <v>0</v>
      </c>
      <c r="H54" s="168">
        <f>H55</f>
        <v>0</v>
      </c>
      <c r="I54" s="169">
        <f t="shared" si="14"/>
        <v>0</v>
      </c>
      <c r="J54" s="169">
        <f t="shared" si="14"/>
        <v>0</v>
      </c>
      <c r="K54" s="169">
        <f t="shared" si="14"/>
        <v>0</v>
      </c>
      <c r="L54" s="169">
        <f t="shared" si="14"/>
        <v>0</v>
      </c>
      <c r="M54" s="169">
        <f t="shared" si="14"/>
        <v>0</v>
      </c>
      <c r="N54" s="169">
        <f t="shared" si="14"/>
        <v>0</v>
      </c>
      <c r="O54" s="168">
        <f t="shared" si="14"/>
        <v>0</v>
      </c>
      <c r="P54" s="211">
        <f t="shared" si="14"/>
        <v>0</v>
      </c>
    </row>
    <row r="55" spans="1:16" ht="12.75">
      <c r="A55" s="12" t="s">
        <v>100</v>
      </c>
      <c r="B55" s="13" t="s">
        <v>101</v>
      </c>
      <c r="C55" s="14"/>
      <c r="D55" s="212"/>
      <c r="E55" s="213"/>
      <c r="F55" s="213"/>
      <c r="G55" s="213">
        <f>D55/D61*100</f>
        <v>0</v>
      </c>
      <c r="H55" s="212">
        <v>0</v>
      </c>
      <c r="I55" s="214"/>
      <c r="J55" s="214"/>
      <c r="K55" s="214"/>
      <c r="L55" s="214"/>
      <c r="M55" s="214"/>
      <c r="N55" s="215">
        <f>H55/H61*100</f>
        <v>0</v>
      </c>
      <c r="O55" s="212">
        <v>0</v>
      </c>
      <c r="P55" s="216">
        <f>O55/O61*100</f>
        <v>0</v>
      </c>
    </row>
    <row r="56" spans="1:16" ht="12.75">
      <c r="A56" s="6" t="s">
        <v>102</v>
      </c>
      <c r="B56" s="7" t="s">
        <v>103</v>
      </c>
      <c r="C56" s="218"/>
      <c r="D56" s="168">
        <f>D57+D58</f>
        <v>84744</v>
      </c>
      <c r="E56" s="169" t="e">
        <f>E57+E58+#REF!</f>
        <v>#REF!</v>
      </c>
      <c r="F56" s="169" t="e">
        <f>F57+F58+#REF!</f>
        <v>#REF!</v>
      </c>
      <c r="G56" s="169">
        <f>D56/D61*100</f>
        <v>3.5</v>
      </c>
      <c r="H56" s="168">
        <f>H57+H58</f>
        <v>89827</v>
      </c>
      <c r="I56" s="169" t="e">
        <f>I57+I58+#REF!</f>
        <v>#REF!</v>
      </c>
      <c r="J56" s="169" t="e">
        <f>J57+J58+#REF!</f>
        <v>#REF!</v>
      </c>
      <c r="K56" s="169" t="e">
        <f>K57+K58+#REF!</f>
        <v>#REF!</v>
      </c>
      <c r="L56" s="169" t="e">
        <f>L57+L58+#REF!</f>
        <v>#REF!</v>
      </c>
      <c r="M56" s="169" t="e">
        <f>M57+M58+#REF!</f>
        <v>#REF!</v>
      </c>
      <c r="N56" s="169">
        <f>N57+N58</f>
        <v>3.87</v>
      </c>
      <c r="O56" s="168">
        <f>O57+O58</f>
        <v>92895</v>
      </c>
      <c r="P56" s="211">
        <f>P57+P58</f>
        <v>3.78</v>
      </c>
    </row>
    <row r="57" spans="1:16" ht="25.5">
      <c r="A57" s="173" t="s">
        <v>104</v>
      </c>
      <c r="B57" s="174" t="s">
        <v>105</v>
      </c>
      <c r="C57" s="175"/>
      <c r="D57" s="176">
        <v>46420</v>
      </c>
      <c r="E57" s="177"/>
      <c r="F57" s="177"/>
      <c r="G57" s="177">
        <f>D57/D61*100</f>
        <v>1.92</v>
      </c>
      <c r="H57" s="176">
        <v>49827</v>
      </c>
      <c r="I57" s="178"/>
      <c r="J57" s="178"/>
      <c r="K57" s="178"/>
      <c r="L57" s="178"/>
      <c r="M57" s="178"/>
      <c r="N57" s="179">
        <f>H57/H61*100</f>
        <v>2.15</v>
      </c>
      <c r="O57" s="176">
        <v>52895</v>
      </c>
      <c r="P57" s="180">
        <f>O57/O61*100</f>
        <v>2.15</v>
      </c>
    </row>
    <row r="58" spans="1:16" ht="12.75">
      <c r="A58" s="9" t="s">
        <v>106</v>
      </c>
      <c r="B58" s="10" t="s">
        <v>107</v>
      </c>
      <c r="C58" s="11"/>
      <c r="D58" s="181">
        <v>38324</v>
      </c>
      <c r="E58" s="182"/>
      <c r="F58" s="182"/>
      <c r="G58" s="182">
        <f>D58/D61*100</f>
        <v>1.58</v>
      </c>
      <c r="H58" s="181">
        <v>40000</v>
      </c>
      <c r="I58" s="183"/>
      <c r="J58" s="183"/>
      <c r="K58" s="183"/>
      <c r="L58" s="183"/>
      <c r="M58" s="183"/>
      <c r="N58" s="184">
        <f>H58/H61*100</f>
        <v>1.72</v>
      </c>
      <c r="O58" s="181">
        <v>40000</v>
      </c>
      <c r="P58" s="185">
        <f>O58/O61*100</f>
        <v>1.63</v>
      </c>
    </row>
    <row r="59" spans="1:16" ht="12.75">
      <c r="A59" s="6" t="s">
        <v>110</v>
      </c>
      <c r="B59" s="7" t="s">
        <v>111</v>
      </c>
      <c r="C59" s="8">
        <f>C60</f>
        <v>0</v>
      </c>
      <c r="D59" s="168">
        <f>D60</f>
        <v>0</v>
      </c>
      <c r="E59" s="169">
        <f aca="true" t="shared" si="15" ref="E59:P59">E60</f>
        <v>0</v>
      </c>
      <c r="F59" s="169">
        <f t="shared" si="15"/>
        <v>0</v>
      </c>
      <c r="G59" s="169">
        <f t="shared" si="15"/>
        <v>0</v>
      </c>
      <c r="H59" s="168">
        <f>H60</f>
        <v>231902.2</v>
      </c>
      <c r="I59" s="169" t="e">
        <f t="shared" si="15"/>
        <v>#REF!</v>
      </c>
      <c r="J59" s="169">
        <f t="shared" si="15"/>
        <v>0</v>
      </c>
      <c r="K59" s="169">
        <f t="shared" si="15"/>
        <v>3679403.2</v>
      </c>
      <c r="L59" s="169" t="e">
        <f t="shared" si="15"/>
        <v>#REF!</v>
      </c>
      <c r="M59" s="169">
        <f t="shared" si="15"/>
        <v>1586.62</v>
      </c>
      <c r="N59" s="169">
        <f t="shared" si="15"/>
        <v>10</v>
      </c>
      <c r="O59" s="168">
        <f t="shared" si="15"/>
        <v>362731.6</v>
      </c>
      <c r="P59" s="211">
        <f t="shared" si="15"/>
        <v>14.76</v>
      </c>
    </row>
    <row r="60" spans="1:16" ht="12.75">
      <c r="A60" s="173" t="s">
        <v>112</v>
      </c>
      <c r="B60" s="174" t="s">
        <v>113</v>
      </c>
      <c r="C60" s="175"/>
      <c r="D60" s="176">
        <v>0</v>
      </c>
      <c r="E60" s="177"/>
      <c r="F60" s="177"/>
      <c r="G60" s="177"/>
      <c r="H60" s="176">
        <v>231902.2</v>
      </c>
      <c r="I60" s="178" t="e">
        <f>#REF!/#REF!*100</f>
        <v>#REF!</v>
      </c>
      <c r="J60" s="178"/>
      <c r="K60" s="178">
        <v>3679403.2</v>
      </c>
      <c r="L60" s="178" t="e">
        <f>K60/#REF!*100</f>
        <v>#REF!</v>
      </c>
      <c r="M60" s="178">
        <f t="shared" si="5"/>
        <v>1586.62</v>
      </c>
      <c r="N60" s="179">
        <f>H60/H61*100</f>
        <v>10</v>
      </c>
      <c r="O60" s="176">
        <v>362731.6</v>
      </c>
      <c r="P60" s="180">
        <f>O60/O61*100</f>
        <v>14.76</v>
      </c>
    </row>
    <row r="61" spans="1:16" ht="12.75">
      <c r="A61" s="219" t="s">
        <v>111</v>
      </c>
      <c r="B61" s="220" t="s">
        <v>328</v>
      </c>
      <c r="C61" s="221" t="e">
        <f>C6+#REF!+C15+C19+C25+C30+C32+C37+C40+C44+C49+C59</f>
        <v>#REF!</v>
      </c>
      <c r="D61" s="222">
        <f>D6+D15+D19+D25+D30+D32+D37+D40+D44+D49+D52+D54+D56+D59</f>
        <v>2419624.3</v>
      </c>
      <c r="E61" s="223" t="e">
        <f>E6+E15+E19+E25+E30+E32+E37+E40+E44+E49+E59</f>
        <v>#REF!</v>
      </c>
      <c r="F61" s="223">
        <f>F6+F15+F19+F25+F30+F32+F37+F40+F44+F49+F59</f>
        <v>506.14</v>
      </c>
      <c r="G61" s="223">
        <f>G6+G15+G19+G25+G30+G32+G37+G40+G44+G49+G52+G54+G56+G59</f>
        <v>100</v>
      </c>
      <c r="H61" s="222">
        <f>H6+H15+H19+H25+H30+H32+H37+H40+H44+H49+H52+H54+H56+H59</f>
        <v>2319348.4</v>
      </c>
      <c r="I61" s="223" t="e">
        <f>I6+I15+I19+I25+I30+I32+I37+I40+I44+I49+I59</f>
        <v>#REF!</v>
      </c>
      <c r="J61" s="223" t="e">
        <f>J6+J15+J19+J25+J30+J32+J37+J40+J44+J49+J59</f>
        <v>#DIV/0!</v>
      </c>
      <c r="K61" s="223">
        <f>K6+K15+K19+K25+K30+K32+K37+K40+K44+K49+K59</f>
        <v>48057843.8</v>
      </c>
      <c r="L61" s="223" t="e">
        <f>L6+L15+L19+L25+L30+L32+L37+L40+L44+L49+L59</f>
        <v>#REF!</v>
      </c>
      <c r="M61" s="223" t="e">
        <f>M6+M15+M19+M25+M30+M32+M37+M40+M44+M49+M59</f>
        <v>#DIV/0!</v>
      </c>
      <c r="N61" s="223">
        <f>N6+N15+N19+N25+N30+N32+N37+N40+N44+N49+N52+N54+N56+N59</f>
        <v>100</v>
      </c>
      <c r="O61" s="222">
        <f>O6+O15+O19+O25+O30+O32+O37+O40+O44+O49+O52+O54+O56+O59</f>
        <v>2457748.5</v>
      </c>
      <c r="P61" s="224">
        <f>P6+P15+P19+P25+P30+P32+P37+P40+P44+P49+P52+P54+P56+P59</f>
        <v>100</v>
      </c>
    </row>
    <row r="62" spans="1:15" ht="12.75">
      <c r="A62" s="15"/>
      <c r="B62" s="16"/>
      <c r="C62" s="17"/>
      <c r="D62" s="18"/>
      <c r="E62" s="18"/>
      <c r="F62" s="18"/>
      <c r="G62" s="18"/>
      <c r="H62" s="18"/>
      <c r="I62" s="19"/>
      <c r="J62" s="19"/>
      <c r="K62" s="19"/>
      <c r="L62" s="19"/>
      <c r="M62" s="19"/>
      <c r="N62" s="19"/>
      <c r="O62" s="18"/>
    </row>
    <row r="63" spans="1:15" ht="12.75">
      <c r="A63" s="15"/>
      <c r="B63" s="16"/>
      <c r="C63" s="17"/>
      <c r="D63" s="18"/>
      <c r="E63" s="18"/>
      <c r="F63" s="18"/>
      <c r="G63" s="18"/>
      <c r="H63" s="18"/>
      <c r="I63" s="19"/>
      <c r="J63" s="19"/>
      <c r="K63" s="19"/>
      <c r="L63" s="19"/>
      <c r="M63" s="19"/>
      <c r="N63" s="19"/>
      <c r="O63" s="18"/>
    </row>
    <row r="64" spans="1:15" ht="12.75">
      <c r="A64" s="15"/>
      <c r="B64" s="16"/>
      <c r="C64" s="17"/>
      <c r="D64" s="18"/>
      <c r="E64" s="18"/>
      <c r="F64" s="18"/>
      <c r="G64" s="18"/>
      <c r="H64" s="18"/>
      <c r="I64" s="19"/>
      <c r="J64" s="19"/>
      <c r="K64" s="19"/>
      <c r="L64" s="19"/>
      <c r="M64" s="19"/>
      <c r="N64" s="19"/>
      <c r="O64" s="18"/>
    </row>
    <row r="65" spans="1:15" ht="12.75">
      <c r="A65" s="15"/>
      <c r="B65" s="16"/>
      <c r="C65" s="17"/>
      <c r="D65" s="18"/>
      <c r="E65" s="18"/>
      <c r="F65" s="18"/>
      <c r="G65" s="18"/>
      <c r="H65" s="18"/>
      <c r="I65" s="19"/>
      <c r="J65" s="19"/>
      <c r="K65" s="19"/>
      <c r="L65" s="19"/>
      <c r="M65" s="19"/>
      <c r="N65" s="19"/>
      <c r="O65" s="18"/>
    </row>
    <row r="66" ht="12.75" customHeight="1"/>
    <row r="67" spans="1:3" ht="12.75" customHeight="1">
      <c r="A67" s="226"/>
      <c r="B67" s="226"/>
      <c r="C67" s="226"/>
    </row>
    <row r="69" ht="12.75">
      <c r="D69" s="22"/>
    </row>
  </sheetData>
  <mergeCells count="7">
    <mergeCell ref="A1:P1"/>
    <mergeCell ref="O2:P2"/>
    <mergeCell ref="A3:A4"/>
    <mergeCell ref="B3:B4"/>
    <mergeCell ref="D3:G3"/>
    <mergeCell ref="H3:N3"/>
    <mergeCell ref="O3:P3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zoomScale="110" zoomScaleNormal="110" workbookViewId="0" topLeftCell="A1">
      <selection activeCell="B10" sqref="B10"/>
    </sheetView>
  </sheetViews>
  <sheetFormatPr defaultColWidth="9.140625" defaultRowHeight="12.75" outlineLevelRow="1"/>
  <cols>
    <col min="1" max="1" width="5.28125" style="1" customWidth="1"/>
    <col min="2" max="2" width="50.28125" style="1" customWidth="1"/>
    <col min="3" max="3" width="15.421875" style="20" hidden="1" customWidth="1"/>
    <col min="4" max="4" width="14.00390625" style="80" customWidth="1"/>
    <col min="5" max="5" width="4.57421875" style="80" hidden="1" customWidth="1"/>
    <col min="6" max="6" width="13.7109375" style="80" customWidth="1"/>
    <col min="7" max="7" width="15.8515625" style="21" customWidth="1"/>
    <col min="8" max="9" width="13.140625" style="21" hidden="1" customWidth="1"/>
    <col min="10" max="10" width="14.00390625" style="80" customWidth="1"/>
    <col min="11" max="11" width="0.13671875" style="80" hidden="1" customWidth="1"/>
    <col min="12" max="12" width="14.28125" style="21" customWidth="1"/>
    <col min="13" max="13" width="14.00390625" style="21" customWidth="1"/>
    <col min="14" max="15" width="12.28125" style="1" hidden="1" customWidth="1"/>
    <col min="16" max="16" width="19.00390625" style="1" hidden="1" customWidth="1"/>
    <col min="17" max="17" width="12.7109375" style="1" hidden="1" customWidth="1"/>
    <col min="18" max="18" width="11.421875" style="1" hidden="1" customWidth="1"/>
    <col min="19" max="16384" width="9.140625" style="1" customWidth="1"/>
  </cols>
  <sheetData>
    <row r="1" spans="1:18" ht="35.25" customHeight="1">
      <c r="A1" s="330" t="s">
        <v>406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23"/>
      <c r="O1" s="23"/>
      <c r="P1" s="23"/>
      <c r="Q1" s="23"/>
      <c r="R1" s="23"/>
    </row>
    <row r="2" spans="1:18" ht="10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 t="s">
        <v>0</v>
      </c>
      <c r="N2" s="24"/>
      <c r="O2" s="24"/>
      <c r="P2" s="24"/>
      <c r="Q2" s="24"/>
      <c r="R2" s="24"/>
    </row>
    <row r="3" spans="1:18" s="33" customFormat="1" ht="66.75" customHeight="1">
      <c r="A3" s="25" t="s">
        <v>1</v>
      </c>
      <c r="B3" s="25" t="s">
        <v>2</v>
      </c>
      <c r="C3" s="26" t="s">
        <v>4</v>
      </c>
      <c r="D3" s="121" t="s">
        <v>275</v>
      </c>
      <c r="E3" s="26" t="s">
        <v>114</v>
      </c>
      <c r="F3" s="26" t="s">
        <v>276</v>
      </c>
      <c r="G3" s="27" t="s">
        <v>329</v>
      </c>
      <c r="H3" s="28" t="s">
        <v>5</v>
      </c>
      <c r="I3" s="29"/>
      <c r="J3" s="121" t="s">
        <v>330</v>
      </c>
      <c r="K3" s="26" t="s">
        <v>115</v>
      </c>
      <c r="L3" s="25" t="s">
        <v>331</v>
      </c>
      <c r="M3" s="27" t="s">
        <v>332</v>
      </c>
      <c r="N3" s="30" t="s">
        <v>5</v>
      </c>
      <c r="O3" s="31"/>
      <c r="P3" s="25" t="s">
        <v>116</v>
      </c>
      <c r="Q3" s="32" t="s">
        <v>5</v>
      </c>
      <c r="R3" s="31"/>
    </row>
    <row r="4" spans="1:18" s="5" customFormat="1" ht="11.25">
      <c r="A4" s="4" t="s">
        <v>6</v>
      </c>
      <c r="B4" s="4" t="s">
        <v>7</v>
      </c>
      <c r="C4" s="4"/>
      <c r="D4" s="4">
        <v>6</v>
      </c>
      <c r="E4" s="4"/>
      <c r="F4" s="4">
        <v>4</v>
      </c>
      <c r="G4" s="4" t="s">
        <v>8</v>
      </c>
      <c r="H4" s="4"/>
      <c r="I4" s="4"/>
      <c r="J4" s="4">
        <v>6</v>
      </c>
      <c r="K4" s="4"/>
      <c r="L4" s="4" t="s">
        <v>9</v>
      </c>
      <c r="M4" s="4" t="s">
        <v>10</v>
      </c>
      <c r="N4" s="34"/>
      <c r="O4" s="34"/>
      <c r="P4" s="35"/>
      <c r="Q4" s="34"/>
      <c r="R4" s="34"/>
    </row>
    <row r="5" spans="1:18" ht="17.25" customHeight="1">
      <c r="A5" s="6" t="s">
        <v>11</v>
      </c>
      <c r="B5" s="7" t="s">
        <v>12</v>
      </c>
      <c r="C5" s="8">
        <f aca="true" t="shared" si="0" ref="C5:L5">SUM(C6:C13)</f>
        <v>2142078</v>
      </c>
      <c r="D5" s="36">
        <f>SUM(D6:D13)</f>
        <v>148259.1</v>
      </c>
      <c r="E5" s="36">
        <f t="shared" si="0"/>
        <v>-19096</v>
      </c>
      <c r="F5" s="36">
        <f t="shared" si="0"/>
        <v>-19096</v>
      </c>
      <c r="G5" s="36">
        <f t="shared" si="0"/>
        <v>129163.1</v>
      </c>
      <c r="H5" s="36">
        <f t="shared" si="0"/>
        <v>188.56</v>
      </c>
      <c r="I5" s="36">
        <f t="shared" si="0"/>
        <v>195.99</v>
      </c>
      <c r="J5" s="36">
        <f t="shared" si="0"/>
        <v>269661.8</v>
      </c>
      <c r="K5" s="36">
        <f t="shared" si="0"/>
        <v>-83599</v>
      </c>
      <c r="L5" s="36">
        <f t="shared" si="0"/>
        <v>-83599</v>
      </c>
      <c r="M5" s="37">
        <f>SUM(M6:M13)</f>
        <v>186062.8</v>
      </c>
      <c r="N5" s="38">
        <f aca="true" t="shared" si="1" ref="N5:N11">J5/D5*100</f>
        <v>181.9</v>
      </c>
      <c r="O5" s="39">
        <f aca="true" t="shared" si="2" ref="O5:O11">M5/G5*100</f>
        <v>144.1</v>
      </c>
      <c r="P5" s="39">
        <v>4573428.9</v>
      </c>
      <c r="Q5" s="39">
        <f aca="true" t="shared" si="3" ref="Q5:Q13">P5/J5*100</f>
        <v>1696</v>
      </c>
      <c r="R5" s="39">
        <f aca="true" t="shared" si="4" ref="R5:R13">P5/M5*100</f>
        <v>2458</v>
      </c>
    </row>
    <row r="6" spans="1:18" ht="30" customHeight="1" outlineLevel="1">
      <c r="A6" s="9" t="s">
        <v>13</v>
      </c>
      <c r="B6" s="10" t="s">
        <v>14</v>
      </c>
      <c r="C6" s="11">
        <v>2091</v>
      </c>
      <c r="D6" s="40">
        <v>3218.3</v>
      </c>
      <c r="E6" s="40">
        <f aca="true" t="shared" si="5" ref="E6:E60">G6-D6</f>
        <v>149.8</v>
      </c>
      <c r="F6" s="40">
        <f>G6-D6</f>
        <v>149.8</v>
      </c>
      <c r="G6" s="40">
        <v>3368.1</v>
      </c>
      <c r="H6" s="40">
        <f aca="true" t="shared" si="6" ref="H6:H13">D6/C6*100</f>
        <v>153.91</v>
      </c>
      <c r="I6" s="40">
        <f aca="true" t="shared" si="7" ref="I6:I13">G6/C6*100</f>
        <v>161.08</v>
      </c>
      <c r="J6" s="40">
        <v>3218.3</v>
      </c>
      <c r="K6" s="40">
        <f aca="true" t="shared" si="8" ref="K6:K49">M6-J6</f>
        <v>299.7</v>
      </c>
      <c r="L6" s="40">
        <f aca="true" t="shared" si="9" ref="L6:L49">M6-J6</f>
        <v>299.7</v>
      </c>
      <c r="M6" s="41">
        <v>3518</v>
      </c>
      <c r="N6" s="42">
        <f t="shared" si="1"/>
        <v>100</v>
      </c>
      <c r="O6" s="43">
        <f t="shared" si="2"/>
        <v>104.5</v>
      </c>
      <c r="P6" s="43">
        <v>3021</v>
      </c>
      <c r="Q6" s="43">
        <f t="shared" si="3"/>
        <v>93.9</v>
      </c>
      <c r="R6" s="43">
        <f t="shared" si="4"/>
        <v>85.9</v>
      </c>
    </row>
    <row r="7" spans="1:18" ht="38.25" outlineLevel="1">
      <c r="A7" s="9" t="s">
        <v>15</v>
      </c>
      <c r="B7" s="10" t="s">
        <v>16</v>
      </c>
      <c r="C7" s="11">
        <v>248637</v>
      </c>
      <c r="D7" s="41">
        <v>9609</v>
      </c>
      <c r="E7" s="40">
        <f t="shared" si="5"/>
        <v>3719.9</v>
      </c>
      <c r="F7" s="40">
        <f aca="true" t="shared" si="10" ref="F7:F49">G7-D7</f>
        <v>3719.9</v>
      </c>
      <c r="G7" s="40">
        <v>13328.9</v>
      </c>
      <c r="H7" s="40">
        <f t="shared" si="6"/>
        <v>3.86</v>
      </c>
      <c r="I7" s="40">
        <f t="shared" si="7"/>
        <v>5.36</v>
      </c>
      <c r="J7" s="41">
        <v>9701.3</v>
      </c>
      <c r="K7" s="40">
        <f t="shared" si="8"/>
        <v>3585</v>
      </c>
      <c r="L7" s="40">
        <f t="shared" si="9"/>
        <v>3585</v>
      </c>
      <c r="M7" s="41">
        <v>13286.3</v>
      </c>
      <c r="N7" s="42">
        <f t="shared" si="1"/>
        <v>101</v>
      </c>
      <c r="O7" s="43">
        <f t="shared" si="2"/>
        <v>99.7</v>
      </c>
      <c r="P7" s="43">
        <v>359055.6</v>
      </c>
      <c r="Q7" s="43">
        <f t="shared" si="3"/>
        <v>3701.1</v>
      </c>
      <c r="R7" s="43">
        <f t="shared" si="4"/>
        <v>2702.4</v>
      </c>
    </row>
    <row r="8" spans="1:18" ht="40.5" customHeight="1" outlineLevel="1">
      <c r="A8" s="9" t="s">
        <v>17</v>
      </c>
      <c r="B8" s="10" t="s">
        <v>117</v>
      </c>
      <c r="C8" s="11">
        <v>363087.7</v>
      </c>
      <c r="D8" s="41">
        <v>33930.6</v>
      </c>
      <c r="E8" s="40">
        <f t="shared" si="5"/>
        <v>3099.9</v>
      </c>
      <c r="F8" s="40">
        <f t="shared" si="10"/>
        <v>3099.9</v>
      </c>
      <c r="G8" s="40">
        <v>37030.5</v>
      </c>
      <c r="H8" s="40">
        <f t="shared" si="6"/>
        <v>9.35</v>
      </c>
      <c r="I8" s="40">
        <f t="shared" si="7"/>
        <v>10.2</v>
      </c>
      <c r="J8" s="41">
        <v>34415.7</v>
      </c>
      <c r="K8" s="40">
        <f t="shared" si="8"/>
        <v>2903.3</v>
      </c>
      <c r="L8" s="40">
        <f t="shared" si="9"/>
        <v>2903.3</v>
      </c>
      <c r="M8" s="41">
        <v>37319</v>
      </c>
      <c r="N8" s="42">
        <f t="shared" si="1"/>
        <v>101.4</v>
      </c>
      <c r="O8" s="43">
        <f t="shared" si="2"/>
        <v>100.8</v>
      </c>
      <c r="P8" s="43">
        <v>465516.9</v>
      </c>
      <c r="Q8" s="43">
        <f t="shared" si="3"/>
        <v>1352.6</v>
      </c>
      <c r="R8" s="43">
        <f t="shared" si="4"/>
        <v>1247.4</v>
      </c>
    </row>
    <row r="9" spans="1:18" ht="21.75" customHeight="1" hidden="1" outlineLevel="1">
      <c r="A9" s="9" t="s">
        <v>277</v>
      </c>
      <c r="B9" s="10" t="s">
        <v>278</v>
      </c>
      <c r="C9" s="11"/>
      <c r="D9" s="41"/>
      <c r="E9" s="40"/>
      <c r="F9" s="40"/>
      <c r="G9" s="40"/>
      <c r="H9" s="40"/>
      <c r="I9" s="40"/>
      <c r="J9" s="41"/>
      <c r="K9" s="40"/>
      <c r="L9" s="40"/>
      <c r="M9" s="41"/>
      <c r="N9" s="42"/>
      <c r="O9" s="43"/>
      <c r="P9" s="43"/>
      <c r="Q9" s="43"/>
      <c r="R9" s="43"/>
    </row>
    <row r="10" spans="1:18" ht="29.25" customHeight="1" outlineLevel="1">
      <c r="A10" s="9" t="s">
        <v>18</v>
      </c>
      <c r="B10" s="10" t="s">
        <v>118</v>
      </c>
      <c r="C10" s="11">
        <v>283594</v>
      </c>
      <c r="D10" s="41">
        <v>28222.9</v>
      </c>
      <c r="E10" s="40">
        <f t="shared" si="5"/>
        <v>1425.8</v>
      </c>
      <c r="F10" s="40">
        <f t="shared" si="10"/>
        <v>1425.8</v>
      </c>
      <c r="G10" s="40">
        <v>29648.7</v>
      </c>
      <c r="H10" s="40">
        <f t="shared" si="6"/>
        <v>9.95</v>
      </c>
      <c r="I10" s="40">
        <f t="shared" si="7"/>
        <v>10.45</v>
      </c>
      <c r="J10" s="41">
        <v>28362.3</v>
      </c>
      <c r="K10" s="40">
        <f t="shared" si="8"/>
        <v>2494</v>
      </c>
      <c r="L10" s="40">
        <f t="shared" si="9"/>
        <v>2494</v>
      </c>
      <c r="M10" s="41">
        <v>30856.3</v>
      </c>
      <c r="N10" s="42">
        <f t="shared" si="1"/>
        <v>100.5</v>
      </c>
      <c r="O10" s="43">
        <f t="shared" si="2"/>
        <v>104.1</v>
      </c>
      <c r="P10" s="43">
        <v>194463.8</v>
      </c>
      <c r="Q10" s="43">
        <f t="shared" si="3"/>
        <v>685.6</v>
      </c>
      <c r="R10" s="43">
        <f t="shared" si="4"/>
        <v>630.2</v>
      </c>
    </row>
    <row r="11" spans="1:18" ht="17.25" customHeight="1" outlineLevel="1">
      <c r="A11" s="9" t="s">
        <v>19</v>
      </c>
      <c r="B11" s="10" t="s">
        <v>20</v>
      </c>
      <c r="C11" s="11">
        <v>34887</v>
      </c>
      <c r="D11" s="41"/>
      <c r="E11" s="40">
        <f t="shared" si="5"/>
        <v>0</v>
      </c>
      <c r="F11" s="40">
        <f t="shared" si="10"/>
        <v>0</v>
      </c>
      <c r="G11" s="40"/>
      <c r="H11" s="40">
        <f t="shared" si="6"/>
        <v>0</v>
      </c>
      <c r="I11" s="40">
        <f t="shared" si="7"/>
        <v>0</v>
      </c>
      <c r="J11" s="41"/>
      <c r="K11" s="40">
        <f t="shared" si="8"/>
        <v>0</v>
      </c>
      <c r="L11" s="40">
        <f t="shared" si="9"/>
        <v>0</v>
      </c>
      <c r="M11" s="41"/>
      <c r="N11" s="42" t="e">
        <f t="shared" si="1"/>
        <v>#DIV/0!</v>
      </c>
      <c r="O11" s="43" t="e">
        <f t="shared" si="2"/>
        <v>#DIV/0!</v>
      </c>
      <c r="P11" s="43">
        <v>124477</v>
      </c>
      <c r="Q11" s="43" t="e">
        <f t="shared" si="3"/>
        <v>#DIV/0!</v>
      </c>
      <c r="R11" s="43" t="e">
        <f t="shared" si="4"/>
        <v>#DIV/0!</v>
      </c>
    </row>
    <row r="12" spans="1:18" ht="12.75" outlineLevel="1">
      <c r="A12" s="9" t="s">
        <v>21</v>
      </c>
      <c r="B12" s="10" t="s">
        <v>22</v>
      </c>
      <c r="C12" s="11">
        <v>150000</v>
      </c>
      <c r="D12" s="41">
        <v>8000</v>
      </c>
      <c r="E12" s="40">
        <f t="shared" si="5"/>
        <v>0</v>
      </c>
      <c r="F12" s="40">
        <f t="shared" si="10"/>
        <v>0</v>
      </c>
      <c r="G12" s="40">
        <v>8000</v>
      </c>
      <c r="H12" s="40">
        <f t="shared" si="6"/>
        <v>5.33</v>
      </c>
      <c r="I12" s="40">
        <f t="shared" si="7"/>
        <v>5.33</v>
      </c>
      <c r="J12" s="41">
        <v>8000</v>
      </c>
      <c r="K12" s="40">
        <f t="shared" si="8"/>
        <v>2000</v>
      </c>
      <c r="L12" s="40">
        <f t="shared" si="9"/>
        <v>2000</v>
      </c>
      <c r="M12" s="41">
        <v>10000</v>
      </c>
      <c r="N12" s="42">
        <f>J12/D12*100</f>
        <v>100</v>
      </c>
      <c r="O12" s="43">
        <f>M12/G12*100</f>
        <v>125</v>
      </c>
      <c r="P12" s="43">
        <v>200000</v>
      </c>
      <c r="Q12" s="43">
        <f t="shared" si="3"/>
        <v>2500</v>
      </c>
      <c r="R12" s="43">
        <f t="shared" si="4"/>
        <v>2000</v>
      </c>
    </row>
    <row r="13" spans="1:18" ht="15.75" customHeight="1" outlineLevel="1">
      <c r="A13" s="9" t="s">
        <v>23</v>
      </c>
      <c r="B13" s="10" t="s">
        <v>24</v>
      </c>
      <c r="C13" s="11">
        <v>1059781.3</v>
      </c>
      <c r="D13" s="41">
        <v>65278.3</v>
      </c>
      <c r="E13" s="40">
        <f t="shared" si="5"/>
        <v>-27491.4</v>
      </c>
      <c r="F13" s="40">
        <f t="shared" si="10"/>
        <v>-27491.4</v>
      </c>
      <c r="G13" s="40">
        <v>37786.9</v>
      </c>
      <c r="H13" s="40">
        <f t="shared" si="6"/>
        <v>6.16</v>
      </c>
      <c r="I13" s="40">
        <f t="shared" si="7"/>
        <v>3.57</v>
      </c>
      <c r="J13" s="41">
        <v>185964.2</v>
      </c>
      <c r="K13" s="40">
        <f t="shared" si="8"/>
        <v>-94881</v>
      </c>
      <c r="L13" s="40">
        <f t="shared" si="9"/>
        <v>-94881</v>
      </c>
      <c r="M13" s="41">
        <v>91083.2</v>
      </c>
      <c r="N13" s="42">
        <f>J13/D13*100</f>
        <v>284.9</v>
      </c>
      <c r="O13" s="43">
        <f>M13/G13*100</f>
        <v>241</v>
      </c>
      <c r="P13" s="43">
        <v>2844805.4</v>
      </c>
      <c r="Q13" s="43">
        <f t="shared" si="3"/>
        <v>1529.8</v>
      </c>
      <c r="R13" s="43">
        <f t="shared" si="4"/>
        <v>3123.3</v>
      </c>
    </row>
    <row r="14" spans="1:18" ht="27.75" customHeight="1" outlineLevel="1">
      <c r="A14" s="6" t="s">
        <v>25</v>
      </c>
      <c r="B14" s="7" t="s">
        <v>26</v>
      </c>
      <c r="C14" s="8" t="e">
        <f>C15+#REF!+#REF!+#REF!+C17</f>
        <v>#REF!</v>
      </c>
      <c r="D14" s="36">
        <f>D15+D17+D16</f>
        <v>5160.2</v>
      </c>
      <c r="E14" s="36">
        <f aca="true" t="shared" si="11" ref="E14:R14">E15+E17+E16</f>
        <v>0</v>
      </c>
      <c r="F14" s="36">
        <f>F15+F17+F16</f>
        <v>5997.1</v>
      </c>
      <c r="G14" s="36">
        <f>G15+G17+G16</f>
        <v>11157.3</v>
      </c>
      <c r="H14" s="36">
        <f t="shared" si="11"/>
        <v>0</v>
      </c>
      <c r="I14" s="36">
        <f t="shared" si="11"/>
        <v>0</v>
      </c>
      <c r="J14" s="36">
        <f t="shared" si="11"/>
        <v>5181.2</v>
      </c>
      <c r="K14" s="36">
        <f t="shared" si="11"/>
        <v>0</v>
      </c>
      <c r="L14" s="36">
        <f t="shared" si="11"/>
        <v>0</v>
      </c>
      <c r="M14" s="37">
        <f t="shared" si="11"/>
        <v>10318.4</v>
      </c>
      <c r="N14" s="44" t="e">
        <f t="shared" si="11"/>
        <v>#DIV/0!</v>
      </c>
      <c r="O14" s="36" t="e">
        <f t="shared" si="11"/>
        <v>#DIV/0!</v>
      </c>
      <c r="P14" s="36">
        <f t="shared" si="11"/>
        <v>769605.7</v>
      </c>
      <c r="Q14" s="36" t="e">
        <f t="shared" si="11"/>
        <v>#DIV/0!</v>
      </c>
      <c r="R14" s="36" t="e">
        <f t="shared" si="11"/>
        <v>#DIV/0!</v>
      </c>
    </row>
    <row r="15" spans="1:18" ht="12.75" hidden="1" outlineLevel="1">
      <c r="A15" s="9" t="s">
        <v>27</v>
      </c>
      <c r="B15" s="10" t="s">
        <v>28</v>
      </c>
      <c r="C15" s="11">
        <v>790995.9</v>
      </c>
      <c r="D15" s="40"/>
      <c r="E15" s="40">
        <f t="shared" si="5"/>
        <v>0</v>
      </c>
      <c r="F15" s="40">
        <f t="shared" si="10"/>
        <v>0</v>
      </c>
      <c r="G15" s="40"/>
      <c r="H15" s="40"/>
      <c r="I15" s="40"/>
      <c r="J15" s="40"/>
      <c r="K15" s="40">
        <f t="shared" si="8"/>
        <v>0</v>
      </c>
      <c r="L15" s="40">
        <f t="shared" si="9"/>
        <v>0</v>
      </c>
      <c r="M15" s="41"/>
      <c r="N15" s="42" t="e">
        <f>J15/D15*100</f>
        <v>#DIV/0!</v>
      </c>
      <c r="O15" s="43" t="e">
        <f>M15/G15*100</f>
        <v>#DIV/0!</v>
      </c>
      <c r="P15" s="43">
        <v>769605.7</v>
      </c>
      <c r="Q15" s="43" t="e">
        <f>P15/J15*100</f>
        <v>#DIV/0!</v>
      </c>
      <c r="R15" s="43" t="e">
        <f>P15/M15*100</f>
        <v>#DIV/0!</v>
      </c>
    </row>
    <row r="16" spans="1:18" ht="25.5" outlineLevel="1">
      <c r="A16" s="9" t="s">
        <v>318</v>
      </c>
      <c r="B16" s="119" t="s">
        <v>279</v>
      </c>
      <c r="C16" s="11"/>
      <c r="D16" s="40">
        <v>5160.2</v>
      </c>
      <c r="E16" s="40"/>
      <c r="F16" s="40">
        <f t="shared" si="10"/>
        <v>5997.1</v>
      </c>
      <c r="G16" s="40">
        <v>11157.3</v>
      </c>
      <c r="H16" s="40"/>
      <c r="I16" s="40"/>
      <c r="J16" s="40">
        <v>5181.2</v>
      </c>
      <c r="K16" s="40"/>
      <c r="L16" s="40"/>
      <c r="M16" s="41">
        <v>10318.4</v>
      </c>
      <c r="N16" s="45"/>
      <c r="O16" s="46">
        <f>M16/G16*100</f>
        <v>92.5</v>
      </c>
      <c r="P16" s="46"/>
      <c r="Q16" s="46"/>
      <c r="R16" s="46"/>
    </row>
    <row r="17" spans="1:18" ht="27" customHeight="1" hidden="1">
      <c r="A17" s="9" t="s">
        <v>29</v>
      </c>
      <c r="B17" s="10" t="s">
        <v>30</v>
      </c>
      <c r="C17" s="11">
        <v>25807</v>
      </c>
      <c r="D17" s="47"/>
      <c r="E17" s="40">
        <f t="shared" si="5"/>
        <v>0</v>
      </c>
      <c r="F17" s="40">
        <f t="shared" si="10"/>
        <v>0</v>
      </c>
      <c r="G17" s="47"/>
      <c r="H17" s="47"/>
      <c r="I17" s="47"/>
      <c r="J17" s="47"/>
      <c r="K17" s="47">
        <f t="shared" si="8"/>
        <v>0</v>
      </c>
      <c r="L17" s="47">
        <f t="shared" si="9"/>
        <v>0</v>
      </c>
      <c r="M17" s="48"/>
      <c r="N17" s="45" t="e">
        <f aca="true" t="shared" si="12" ref="N17:N50">J17/D17*100</f>
        <v>#DIV/0!</v>
      </c>
      <c r="O17" s="46"/>
      <c r="P17" s="46"/>
      <c r="Q17" s="46" t="e">
        <f aca="true" t="shared" si="13" ref="Q17:Q50">P17/J17*100</f>
        <v>#DIV/0!</v>
      </c>
      <c r="R17" s="46"/>
    </row>
    <row r="18" spans="1:18" ht="12.75" outlineLevel="1">
      <c r="A18" s="6" t="s">
        <v>31</v>
      </c>
      <c r="B18" s="7" t="s">
        <v>32</v>
      </c>
      <c r="C18" s="8" t="e">
        <f>#REF!+#REF!+C19+C20+#REF!+C21+C22+#REF!+C23</f>
        <v>#REF!</v>
      </c>
      <c r="D18" s="36">
        <f>SUM(D19:D23)</f>
        <v>113000.7</v>
      </c>
      <c r="E18" s="36">
        <f aca="true" t="shared" si="14" ref="E18:L18">SUM(E19:E23)</f>
        <v>133834.3</v>
      </c>
      <c r="F18" s="36">
        <f t="shared" si="14"/>
        <v>133834.3</v>
      </c>
      <c r="G18" s="36">
        <f t="shared" si="14"/>
        <v>246835</v>
      </c>
      <c r="H18" s="36">
        <f t="shared" si="14"/>
        <v>0</v>
      </c>
      <c r="I18" s="36">
        <f t="shared" si="14"/>
        <v>0</v>
      </c>
      <c r="J18" s="36">
        <f t="shared" si="14"/>
        <v>77187.7</v>
      </c>
      <c r="K18" s="36">
        <f t="shared" si="14"/>
        <v>69658</v>
      </c>
      <c r="L18" s="36">
        <f t="shared" si="14"/>
        <v>69658</v>
      </c>
      <c r="M18" s="37">
        <f>SUM(M19:M23)</f>
        <v>146845.7</v>
      </c>
      <c r="N18" s="38">
        <f t="shared" si="12"/>
        <v>68.3</v>
      </c>
      <c r="O18" s="39">
        <f aca="true" t="shared" si="15" ref="O18:O50">M18/G18*100</f>
        <v>59.5</v>
      </c>
      <c r="P18" s="39">
        <v>8919595.7</v>
      </c>
      <c r="Q18" s="39">
        <f t="shared" si="13"/>
        <v>11555.7</v>
      </c>
      <c r="R18" s="39">
        <f aca="true" t="shared" si="16" ref="R18:R61">P18/M18*100</f>
        <v>6074.1</v>
      </c>
    </row>
    <row r="19" spans="1:18" ht="15" customHeight="1" outlineLevel="1">
      <c r="A19" s="9" t="s">
        <v>33</v>
      </c>
      <c r="B19" s="10" t="s">
        <v>34</v>
      </c>
      <c r="C19" s="11">
        <v>1066669.8</v>
      </c>
      <c r="D19" s="40">
        <v>6814.9</v>
      </c>
      <c r="E19" s="40">
        <f t="shared" si="5"/>
        <v>4610.7</v>
      </c>
      <c r="F19" s="40">
        <f t="shared" si="10"/>
        <v>4610.7</v>
      </c>
      <c r="G19" s="40">
        <v>11425.6</v>
      </c>
      <c r="H19" s="40"/>
      <c r="I19" s="40"/>
      <c r="J19" s="40">
        <v>6842.2</v>
      </c>
      <c r="K19" s="40">
        <f t="shared" si="8"/>
        <v>4869.7</v>
      </c>
      <c r="L19" s="40">
        <f t="shared" si="9"/>
        <v>4869.7</v>
      </c>
      <c r="M19" s="41">
        <v>11711.9</v>
      </c>
      <c r="N19" s="42">
        <f t="shared" si="12"/>
        <v>100.4</v>
      </c>
      <c r="O19" s="43">
        <f t="shared" si="15"/>
        <v>102.5</v>
      </c>
      <c r="P19" s="43">
        <v>1178240.1</v>
      </c>
      <c r="Q19" s="43">
        <f t="shared" si="13"/>
        <v>17220.2</v>
      </c>
      <c r="R19" s="43">
        <f t="shared" si="16"/>
        <v>10060.2</v>
      </c>
    </row>
    <row r="20" spans="1:18" ht="12.75" hidden="1" outlineLevel="1">
      <c r="A20" s="9" t="s">
        <v>35</v>
      </c>
      <c r="B20" s="10" t="s">
        <v>36</v>
      </c>
      <c r="C20" s="11">
        <v>100000</v>
      </c>
      <c r="D20" s="40"/>
      <c r="E20" s="40">
        <f t="shared" si="5"/>
        <v>0</v>
      </c>
      <c r="F20" s="40">
        <f t="shared" si="10"/>
        <v>0</v>
      </c>
      <c r="G20" s="40"/>
      <c r="H20" s="40"/>
      <c r="I20" s="40"/>
      <c r="J20" s="40"/>
      <c r="K20" s="40">
        <f t="shared" si="8"/>
        <v>0</v>
      </c>
      <c r="L20" s="40">
        <f t="shared" si="9"/>
        <v>0</v>
      </c>
      <c r="M20" s="41"/>
      <c r="N20" s="42" t="e">
        <f t="shared" si="12"/>
        <v>#DIV/0!</v>
      </c>
      <c r="O20" s="43" t="e">
        <f t="shared" si="15"/>
        <v>#DIV/0!</v>
      </c>
      <c r="P20" s="43">
        <v>57102</v>
      </c>
      <c r="Q20" s="43" t="e">
        <f t="shared" si="13"/>
        <v>#DIV/0!</v>
      </c>
      <c r="R20" s="43" t="e">
        <f t="shared" si="16"/>
        <v>#DIV/0!</v>
      </c>
    </row>
    <row r="21" spans="1:18" ht="12.75" outlineLevel="1">
      <c r="A21" s="9" t="s">
        <v>37</v>
      </c>
      <c r="B21" s="10" t="s">
        <v>38</v>
      </c>
      <c r="C21" s="11">
        <v>305052.2</v>
      </c>
      <c r="D21" s="40">
        <v>750</v>
      </c>
      <c r="E21" s="40">
        <f t="shared" si="5"/>
        <v>27.9</v>
      </c>
      <c r="F21" s="40">
        <f t="shared" si="10"/>
        <v>27.9</v>
      </c>
      <c r="G21" s="40">
        <v>777.9</v>
      </c>
      <c r="H21" s="40"/>
      <c r="I21" s="40"/>
      <c r="J21" s="40">
        <v>400</v>
      </c>
      <c r="K21" s="40">
        <f t="shared" si="8"/>
        <v>0</v>
      </c>
      <c r="L21" s="40">
        <f t="shared" si="9"/>
        <v>0</v>
      </c>
      <c r="M21" s="41">
        <v>400</v>
      </c>
      <c r="N21" s="42">
        <f t="shared" si="12"/>
        <v>53.3</v>
      </c>
      <c r="O21" s="43">
        <f t="shared" si="15"/>
        <v>51.4</v>
      </c>
      <c r="P21" s="43">
        <v>56637.7</v>
      </c>
      <c r="Q21" s="43">
        <f t="shared" si="13"/>
        <v>14159.4</v>
      </c>
      <c r="R21" s="43">
        <f t="shared" si="16"/>
        <v>14159.4</v>
      </c>
    </row>
    <row r="22" spans="1:18" ht="12.75" outlineLevel="1">
      <c r="A22" s="9" t="s">
        <v>39</v>
      </c>
      <c r="B22" s="10" t="s">
        <v>325</v>
      </c>
      <c r="C22" s="11">
        <v>5433671.6</v>
      </c>
      <c r="D22" s="40">
        <v>91660.1</v>
      </c>
      <c r="E22" s="40">
        <f t="shared" si="5"/>
        <v>116360.7</v>
      </c>
      <c r="F22" s="40">
        <f t="shared" si="10"/>
        <v>116360.7</v>
      </c>
      <c r="G22" s="40">
        <v>208020.8</v>
      </c>
      <c r="H22" s="40"/>
      <c r="I22" s="40"/>
      <c r="J22" s="40">
        <v>56135.1</v>
      </c>
      <c r="K22" s="40">
        <f t="shared" si="8"/>
        <v>57492.1</v>
      </c>
      <c r="L22" s="40">
        <f t="shared" si="9"/>
        <v>57492.1</v>
      </c>
      <c r="M22" s="41">
        <v>113627.2</v>
      </c>
      <c r="N22" s="42">
        <f t="shared" si="12"/>
        <v>61.2</v>
      </c>
      <c r="O22" s="43">
        <f t="shared" si="15"/>
        <v>54.6</v>
      </c>
      <c r="P22" s="43">
        <v>7097559.4</v>
      </c>
      <c r="Q22" s="43">
        <f t="shared" si="13"/>
        <v>12643.7</v>
      </c>
      <c r="R22" s="43">
        <f t="shared" si="16"/>
        <v>6246.4</v>
      </c>
    </row>
    <row r="23" spans="1:18" ht="15.75" customHeight="1">
      <c r="A23" s="9" t="s">
        <v>40</v>
      </c>
      <c r="B23" s="10" t="s">
        <v>41</v>
      </c>
      <c r="C23" s="11">
        <v>91586.5</v>
      </c>
      <c r="D23" s="40">
        <v>13775.7</v>
      </c>
      <c r="E23" s="40">
        <f t="shared" si="5"/>
        <v>12835</v>
      </c>
      <c r="F23" s="40">
        <f t="shared" si="10"/>
        <v>12835</v>
      </c>
      <c r="G23" s="40">
        <v>26610.7</v>
      </c>
      <c r="H23" s="40"/>
      <c r="I23" s="40"/>
      <c r="J23" s="40">
        <v>13810.4</v>
      </c>
      <c r="K23" s="40">
        <f t="shared" si="8"/>
        <v>7296.2</v>
      </c>
      <c r="L23" s="40">
        <f t="shared" si="9"/>
        <v>7296.2</v>
      </c>
      <c r="M23" s="41">
        <v>21106.6</v>
      </c>
      <c r="N23" s="42">
        <f t="shared" si="12"/>
        <v>100.3</v>
      </c>
      <c r="O23" s="43">
        <f t="shared" si="15"/>
        <v>79.3</v>
      </c>
      <c r="P23" s="43">
        <v>220462.8</v>
      </c>
      <c r="Q23" s="43">
        <f t="shared" si="13"/>
        <v>1596.4</v>
      </c>
      <c r="R23" s="43">
        <f t="shared" si="16"/>
        <v>1044.5</v>
      </c>
    </row>
    <row r="24" spans="1:18" ht="16.5" customHeight="1" outlineLevel="1">
      <c r="A24" s="6" t="s">
        <v>42</v>
      </c>
      <c r="B24" s="7" t="s">
        <v>43</v>
      </c>
      <c r="C24" s="8">
        <f>C26+C28</f>
        <v>315602.7</v>
      </c>
      <c r="D24" s="36">
        <f>SUM(D25:D28)</f>
        <v>12064.1</v>
      </c>
      <c r="E24" s="36">
        <f aca="true" t="shared" si="17" ref="E24:M24">SUM(E25:E28)</f>
        <v>96411.9</v>
      </c>
      <c r="F24" s="36">
        <f t="shared" si="17"/>
        <v>96411.9</v>
      </c>
      <c r="G24" s="36">
        <f>SUM(G25:G28)</f>
        <v>134877</v>
      </c>
      <c r="H24" s="36">
        <f t="shared" si="17"/>
        <v>33.29</v>
      </c>
      <c r="I24" s="36">
        <f t="shared" si="17"/>
        <v>80.36</v>
      </c>
      <c r="J24" s="36">
        <f>SUM(J25:J28)</f>
        <v>12207.9</v>
      </c>
      <c r="K24" s="36">
        <f t="shared" si="17"/>
        <v>42479.3</v>
      </c>
      <c r="L24" s="36">
        <f t="shared" si="17"/>
        <v>42412.1</v>
      </c>
      <c r="M24" s="37">
        <f t="shared" si="17"/>
        <v>54620</v>
      </c>
      <c r="N24" s="49" t="e">
        <f>SUM(N25:N28)</f>
        <v>#DIV/0!</v>
      </c>
      <c r="O24" s="8">
        <f>SUM(O25:O28)</f>
        <v>128</v>
      </c>
      <c r="P24" s="8">
        <f>SUM(P25:P28)</f>
        <v>110917.5</v>
      </c>
      <c r="Q24" s="8" t="e">
        <f>SUM(Q25:Q28)</f>
        <v>#DIV/0!</v>
      </c>
      <c r="R24" s="8">
        <f>SUM(R25:R28)</f>
        <v>531.8</v>
      </c>
    </row>
    <row r="25" spans="1:18" ht="12.75" outlineLevel="1">
      <c r="A25" s="12" t="s">
        <v>44</v>
      </c>
      <c r="B25" s="13" t="s">
        <v>45</v>
      </c>
      <c r="C25" s="14"/>
      <c r="D25" s="50"/>
      <c r="E25" s="50"/>
      <c r="F25" s="50"/>
      <c r="G25" s="50">
        <v>26401</v>
      </c>
      <c r="H25" s="50"/>
      <c r="I25" s="50"/>
      <c r="J25" s="50"/>
      <c r="K25" s="50"/>
      <c r="L25" s="51">
        <f t="shared" si="9"/>
        <v>0</v>
      </c>
      <c r="M25" s="52"/>
      <c r="N25" s="45"/>
      <c r="O25" s="46"/>
      <c r="P25" s="46"/>
      <c r="Q25" s="46"/>
      <c r="R25" s="46"/>
    </row>
    <row r="26" spans="1:18" ht="12.75" outlineLevel="1">
      <c r="A26" s="9" t="s">
        <v>46</v>
      </c>
      <c r="B26" s="10" t="s">
        <v>47</v>
      </c>
      <c r="C26" s="11">
        <v>283124</v>
      </c>
      <c r="D26" s="40"/>
      <c r="E26" s="40">
        <f t="shared" si="5"/>
        <v>91712</v>
      </c>
      <c r="F26" s="40">
        <f t="shared" si="10"/>
        <v>91712</v>
      </c>
      <c r="G26" s="40">
        <v>91712</v>
      </c>
      <c r="H26" s="40">
        <f>D26/C26*100</f>
        <v>0</v>
      </c>
      <c r="I26" s="40">
        <f>G26/C26*100</f>
        <v>32.39</v>
      </c>
      <c r="J26" s="40"/>
      <c r="K26" s="40">
        <f t="shared" si="8"/>
        <v>40311</v>
      </c>
      <c r="L26" s="40">
        <f t="shared" si="9"/>
        <v>40311</v>
      </c>
      <c r="M26" s="41">
        <v>40311</v>
      </c>
      <c r="N26" s="42" t="e">
        <f t="shared" si="12"/>
        <v>#DIV/0!</v>
      </c>
      <c r="O26" s="43">
        <f t="shared" si="15"/>
        <v>44</v>
      </c>
      <c r="P26" s="43">
        <v>61168.8</v>
      </c>
      <c r="Q26" s="43" t="e">
        <f t="shared" si="13"/>
        <v>#DIV/0!</v>
      </c>
      <c r="R26" s="43">
        <f t="shared" si="16"/>
        <v>151.7</v>
      </c>
    </row>
    <row r="27" spans="1:18" ht="12.75" outlineLevel="1">
      <c r="A27" s="9" t="s">
        <v>48</v>
      </c>
      <c r="B27" s="10" t="s">
        <v>49</v>
      </c>
      <c r="C27" s="11"/>
      <c r="D27" s="40">
        <v>1253.4</v>
      </c>
      <c r="E27" s="40">
        <f t="shared" si="5"/>
        <v>-68.9</v>
      </c>
      <c r="F27" s="40">
        <f t="shared" si="10"/>
        <v>-68.9</v>
      </c>
      <c r="G27" s="40">
        <v>1184.5</v>
      </c>
      <c r="H27" s="40"/>
      <c r="I27" s="40"/>
      <c r="J27" s="40">
        <v>1287.6</v>
      </c>
      <c r="K27" s="40"/>
      <c r="L27" s="40">
        <f t="shared" si="9"/>
        <v>-67.2</v>
      </c>
      <c r="M27" s="41">
        <v>1220.4</v>
      </c>
      <c r="N27" s="42">
        <f t="shared" si="12"/>
        <v>102.7</v>
      </c>
      <c r="O27" s="43"/>
      <c r="P27" s="43"/>
      <c r="Q27" s="43"/>
      <c r="R27" s="43"/>
    </row>
    <row r="28" spans="1:18" ht="19.5" customHeight="1">
      <c r="A28" s="9" t="s">
        <v>50</v>
      </c>
      <c r="B28" s="10" t="s">
        <v>51</v>
      </c>
      <c r="C28" s="11">
        <v>32478.7</v>
      </c>
      <c r="D28" s="40">
        <v>10810.7</v>
      </c>
      <c r="E28" s="40">
        <f t="shared" si="5"/>
        <v>4768.8</v>
      </c>
      <c r="F28" s="40">
        <f t="shared" si="10"/>
        <v>4768.8</v>
      </c>
      <c r="G28" s="40">
        <v>15579.5</v>
      </c>
      <c r="H28" s="40">
        <f>D28/C28*100</f>
        <v>33.29</v>
      </c>
      <c r="I28" s="40">
        <f>G28/C28*100</f>
        <v>47.97</v>
      </c>
      <c r="J28" s="40">
        <v>10920.3</v>
      </c>
      <c r="K28" s="40">
        <f t="shared" si="8"/>
        <v>2168.3</v>
      </c>
      <c r="L28" s="40">
        <f t="shared" si="9"/>
        <v>2168.3</v>
      </c>
      <c r="M28" s="41">
        <v>13088.6</v>
      </c>
      <c r="N28" s="42">
        <f t="shared" si="12"/>
        <v>101</v>
      </c>
      <c r="O28" s="43">
        <f t="shared" si="15"/>
        <v>84</v>
      </c>
      <c r="P28" s="43">
        <v>49748.7</v>
      </c>
      <c r="Q28" s="43">
        <f t="shared" si="13"/>
        <v>455.6</v>
      </c>
      <c r="R28" s="43">
        <f t="shared" si="16"/>
        <v>380.1</v>
      </c>
    </row>
    <row r="29" spans="1:18" ht="12.75" outlineLevel="1">
      <c r="A29" s="6" t="s">
        <v>52</v>
      </c>
      <c r="B29" s="7" t="s">
        <v>53</v>
      </c>
      <c r="C29" s="8" t="e">
        <f>#REF!+#REF!+C30</f>
        <v>#REF!</v>
      </c>
      <c r="D29" s="36">
        <f aca="true" t="shared" si="18" ref="D29:M29">D30</f>
        <v>162</v>
      </c>
      <c r="E29" s="36">
        <f t="shared" si="18"/>
        <v>13</v>
      </c>
      <c r="F29" s="36">
        <f t="shared" si="18"/>
        <v>13</v>
      </c>
      <c r="G29" s="36">
        <f t="shared" si="18"/>
        <v>175</v>
      </c>
      <c r="H29" s="36">
        <f t="shared" si="18"/>
        <v>0</v>
      </c>
      <c r="I29" s="36">
        <f t="shared" si="18"/>
        <v>0</v>
      </c>
      <c r="J29" s="36">
        <f t="shared" si="18"/>
        <v>162</v>
      </c>
      <c r="K29" s="36">
        <f t="shared" si="18"/>
        <v>13</v>
      </c>
      <c r="L29" s="36">
        <f t="shared" si="18"/>
        <v>13</v>
      </c>
      <c r="M29" s="37">
        <f t="shared" si="18"/>
        <v>175</v>
      </c>
      <c r="N29" s="38">
        <f t="shared" si="12"/>
        <v>100</v>
      </c>
      <c r="O29" s="39">
        <f t="shared" si="15"/>
        <v>100</v>
      </c>
      <c r="P29" s="39">
        <v>78790.5</v>
      </c>
      <c r="Q29" s="39">
        <f t="shared" si="13"/>
        <v>48636.1</v>
      </c>
      <c r="R29" s="39">
        <f t="shared" si="16"/>
        <v>45023.1</v>
      </c>
    </row>
    <row r="30" spans="1:18" ht="14.25" customHeight="1">
      <c r="A30" s="9" t="s">
        <v>54</v>
      </c>
      <c r="B30" s="10" t="s">
        <v>55</v>
      </c>
      <c r="C30" s="11">
        <v>18219.5</v>
      </c>
      <c r="D30" s="40">
        <v>162</v>
      </c>
      <c r="E30" s="40">
        <f t="shared" si="5"/>
        <v>13</v>
      </c>
      <c r="F30" s="40">
        <f t="shared" si="10"/>
        <v>13</v>
      </c>
      <c r="G30" s="40">
        <v>175</v>
      </c>
      <c r="H30" s="40"/>
      <c r="I30" s="40"/>
      <c r="J30" s="40">
        <v>162</v>
      </c>
      <c r="K30" s="40">
        <f t="shared" si="8"/>
        <v>13</v>
      </c>
      <c r="L30" s="40">
        <f t="shared" si="9"/>
        <v>13</v>
      </c>
      <c r="M30" s="41">
        <v>175</v>
      </c>
      <c r="N30" s="42">
        <f t="shared" si="12"/>
        <v>100</v>
      </c>
      <c r="O30" s="43">
        <f t="shared" si="15"/>
        <v>100</v>
      </c>
      <c r="P30" s="43">
        <v>25578</v>
      </c>
      <c r="Q30" s="43">
        <f t="shared" si="13"/>
        <v>15788.9</v>
      </c>
      <c r="R30" s="43">
        <f t="shared" si="16"/>
        <v>14616</v>
      </c>
    </row>
    <row r="31" spans="1:18" ht="12.75" outlineLevel="1">
      <c r="A31" s="6" t="s">
        <v>56</v>
      </c>
      <c r="B31" s="7" t="s">
        <v>57</v>
      </c>
      <c r="C31" s="8" t="e">
        <f>C33+#REF!+#REF!+#REF!+#REF!+C34+C35</f>
        <v>#REF!</v>
      </c>
      <c r="D31" s="36">
        <f>D33+D34+D35+D32</f>
        <v>959637</v>
      </c>
      <c r="E31" s="36">
        <f aca="true" t="shared" si="19" ref="E31:M31">E33+E34+E35+E32</f>
        <v>273348.1</v>
      </c>
      <c r="F31" s="36">
        <f t="shared" si="19"/>
        <v>358738.2</v>
      </c>
      <c r="G31" s="36">
        <f t="shared" si="19"/>
        <v>1318375.2</v>
      </c>
      <c r="H31" s="36">
        <f t="shared" si="19"/>
        <v>0</v>
      </c>
      <c r="I31" s="36">
        <f t="shared" si="19"/>
        <v>0</v>
      </c>
      <c r="J31" s="36">
        <f>J33+J34+J35+J32</f>
        <v>894287.8</v>
      </c>
      <c r="K31" s="36">
        <f t="shared" si="19"/>
        <v>246060.9</v>
      </c>
      <c r="L31" s="36">
        <f t="shared" si="19"/>
        <v>297358.9</v>
      </c>
      <c r="M31" s="37">
        <f t="shared" si="19"/>
        <v>1191646.7</v>
      </c>
      <c r="N31" s="38">
        <f t="shared" si="12"/>
        <v>93.2</v>
      </c>
      <c r="O31" s="39">
        <f t="shared" si="15"/>
        <v>90.4</v>
      </c>
      <c r="P31" s="39">
        <v>6105909.9</v>
      </c>
      <c r="Q31" s="39">
        <f t="shared" si="13"/>
        <v>682.8</v>
      </c>
      <c r="R31" s="39">
        <f t="shared" si="16"/>
        <v>512.4</v>
      </c>
    </row>
    <row r="32" spans="1:18" ht="12.75" outlineLevel="1">
      <c r="A32" s="12" t="s">
        <v>58</v>
      </c>
      <c r="B32" s="13" t="s">
        <v>59</v>
      </c>
      <c r="C32" s="14"/>
      <c r="D32" s="50">
        <v>257303.4</v>
      </c>
      <c r="E32" s="50"/>
      <c r="F32" s="40">
        <f t="shared" si="10"/>
        <v>85390.1</v>
      </c>
      <c r="G32" s="50">
        <v>342693.5</v>
      </c>
      <c r="H32" s="50"/>
      <c r="I32" s="50"/>
      <c r="J32" s="50">
        <v>197824.6</v>
      </c>
      <c r="K32" s="50"/>
      <c r="L32" s="40">
        <f t="shared" si="9"/>
        <v>51298</v>
      </c>
      <c r="M32" s="52">
        <v>249122.6</v>
      </c>
      <c r="N32" s="45"/>
      <c r="O32" s="46">
        <f t="shared" si="15"/>
        <v>72.7</v>
      </c>
      <c r="P32" s="46"/>
      <c r="Q32" s="46"/>
      <c r="R32" s="46"/>
    </row>
    <row r="33" spans="1:18" ht="12.75" outlineLevel="1">
      <c r="A33" s="9" t="s">
        <v>60</v>
      </c>
      <c r="B33" s="10" t="s">
        <v>61</v>
      </c>
      <c r="C33" s="11">
        <v>1075114.8</v>
      </c>
      <c r="D33" s="40">
        <v>663226.5</v>
      </c>
      <c r="E33" s="40">
        <f t="shared" si="5"/>
        <v>266404</v>
      </c>
      <c r="F33" s="40">
        <f t="shared" si="10"/>
        <v>266404</v>
      </c>
      <c r="G33" s="40">
        <v>929630.5</v>
      </c>
      <c r="H33" s="40"/>
      <c r="I33" s="40"/>
      <c r="J33" s="40">
        <v>660610.9</v>
      </c>
      <c r="K33" s="40">
        <f t="shared" si="8"/>
        <v>236256.5</v>
      </c>
      <c r="L33" s="40">
        <f t="shared" si="9"/>
        <v>236256.5</v>
      </c>
      <c r="M33" s="41">
        <v>896867.4</v>
      </c>
      <c r="N33" s="42">
        <f t="shared" si="12"/>
        <v>99.6</v>
      </c>
      <c r="O33" s="43">
        <f t="shared" si="15"/>
        <v>96.5</v>
      </c>
      <c r="P33" s="43">
        <v>1349120.6</v>
      </c>
      <c r="Q33" s="43">
        <f t="shared" si="13"/>
        <v>204.2</v>
      </c>
      <c r="R33" s="43">
        <f t="shared" si="16"/>
        <v>150.4</v>
      </c>
    </row>
    <row r="34" spans="1:18" ht="14.25" customHeight="1" outlineLevel="1">
      <c r="A34" s="9" t="s">
        <v>62</v>
      </c>
      <c r="B34" s="10" t="s">
        <v>63</v>
      </c>
      <c r="C34" s="11">
        <v>39714</v>
      </c>
      <c r="D34" s="40">
        <v>14487</v>
      </c>
      <c r="E34" s="40">
        <f t="shared" si="5"/>
        <v>8864.4</v>
      </c>
      <c r="F34" s="40">
        <f t="shared" si="10"/>
        <v>8864.4</v>
      </c>
      <c r="G34" s="40">
        <v>23351.4</v>
      </c>
      <c r="H34" s="40"/>
      <c r="I34" s="40"/>
      <c r="J34" s="40">
        <v>14663.9</v>
      </c>
      <c r="K34" s="40">
        <f t="shared" si="8"/>
        <v>8033.7</v>
      </c>
      <c r="L34" s="40">
        <f t="shared" si="9"/>
        <v>8033.7</v>
      </c>
      <c r="M34" s="41">
        <v>22697.6</v>
      </c>
      <c r="N34" s="42">
        <f t="shared" si="12"/>
        <v>101.2</v>
      </c>
      <c r="O34" s="43">
        <f t="shared" si="15"/>
        <v>97.2</v>
      </c>
      <c r="P34" s="43">
        <v>54295.6</v>
      </c>
      <c r="Q34" s="43">
        <f t="shared" si="13"/>
        <v>370.3</v>
      </c>
      <c r="R34" s="43">
        <f t="shared" si="16"/>
        <v>239.2</v>
      </c>
    </row>
    <row r="35" spans="1:18" ht="12.75" customHeight="1">
      <c r="A35" s="9" t="s">
        <v>64</v>
      </c>
      <c r="B35" s="10" t="s">
        <v>65</v>
      </c>
      <c r="C35" s="11">
        <v>804288.4</v>
      </c>
      <c r="D35" s="40">
        <v>24620.1</v>
      </c>
      <c r="E35" s="40">
        <f t="shared" si="5"/>
        <v>-1920.3</v>
      </c>
      <c r="F35" s="40">
        <f t="shared" si="10"/>
        <v>-1920.3</v>
      </c>
      <c r="G35" s="40">
        <v>22699.8</v>
      </c>
      <c r="H35" s="40"/>
      <c r="I35" s="40"/>
      <c r="J35" s="40">
        <v>21188.4</v>
      </c>
      <c r="K35" s="40">
        <f t="shared" si="8"/>
        <v>1770.7</v>
      </c>
      <c r="L35" s="40">
        <f t="shared" si="9"/>
        <v>1770.7</v>
      </c>
      <c r="M35" s="41">
        <v>22959.1</v>
      </c>
      <c r="N35" s="42">
        <f t="shared" si="12"/>
        <v>86.1</v>
      </c>
      <c r="O35" s="43">
        <f t="shared" si="15"/>
        <v>101.1</v>
      </c>
      <c r="P35" s="43">
        <v>1048385.5</v>
      </c>
      <c r="Q35" s="43">
        <f t="shared" si="13"/>
        <v>4947.9</v>
      </c>
      <c r="R35" s="43">
        <f t="shared" si="16"/>
        <v>4566.3</v>
      </c>
    </row>
    <row r="36" spans="1:18" ht="12.75" outlineLevel="1">
      <c r="A36" s="6" t="s">
        <v>66</v>
      </c>
      <c r="B36" s="7" t="s">
        <v>119</v>
      </c>
      <c r="C36" s="8" t="e">
        <f>C37+#REF!</f>
        <v>#REF!</v>
      </c>
      <c r="D36" s="36">
        <f>D37+D38</f>
        <v>9443.5</v>
      </c>
      <c r="E36" s="36">
        <f aca="true" t="shared" si="20" ref="E36:M36">E37+E38</f>
        <v>32249.6</v>
      </c>
      <c r="F36" s="36">
        <f t="shared" si="20"/>
        <v>32249.6</v>
      </c>
      <c r="G36" s="36">
        <f t="shared" si="20"/>
        <v>41693.1</v>
      </c>
      <c r="H36" s="36">
        <f t="shared" si="20"/>
        <v>0</v>
      </c>
      <c r="I36" s="36">
        <f t="shared" si="20"/>
        <v>0</v>
      </c>
      <c r="J36" s="36">
        <f t="shared" si="20"/>
        <v>9613.9</v>
      </c>
      <c r="K36" s="36">
        <f t="shared" si="20"/>
        <v>-22.6</v>
      </c>
      <c r="L36" s="36">
        <f t="shared" si="20"/>
        <v>-22.6</v>
      </c>
      <c r="M36" s="37">
        <f t="shared" si="20"/>
        <v>9591.3</v>
      </c>
      <c r="N36" s="38">
        <f t="shared" si="12"/>
        <v>101.8</v>
      </c>
      <c r="O36" s="39">
        <f t="shared" si="15"/>
        <v>23</v>
      </c>
      <c r="P36" s="39">
        <v>1491142.2</v>
      </c>
      <c r="Q36" s="39">
        <f t="shared" si="13"/>
        <v>15510.3</v>
      </c>
      <c r="R36" s="39">
        <f t="shared" si="16"/>
        <v>15546.8</v>
      </c>
    </row>
    <row r="37" spans="1:18" ht="12.75" outlineLevel="1">
      <c r="A37" s="9" t="s">
        <v>67</v>
      </c>
      <c r="B37" s="10" t="s">
        <v>68</v>
      </c>
      <c r="C37" s="11">
        <v>890893.1</v>
      </c>
      <c r="D37" s="40">
        <v>2941.7</v>
      </c>
      <c r="E37" s="40">
        <f t="shared" si="5"/>
        <v>33024.4</v>
      </c>
      <c r="F37" s="40">
        <f t="shared" si="10"/>
        <v>33024.4</v>
      </c>
      <c r="G37" s="40">
        <v>35966.1</v>
      </c>
      <c r="H37" s="40"/>
      <c r="I37" s="40"/>
      <c r="J37" s="40">
        <v>3032.5</v>
      </c>
      <c r="K37" s="40">
        <f t="shared" si="8"/>
        <v>553.1</v>
      </c>
      <c r="L37" s="40">
        <f t="shared" si="9"/>
        <v>553.1</v>
      </c>
      <c r="M37" s="41">
        <v>3585.6</v>
      </c>
      <c r="N37" s="42">
        <f t="shared" si="12"/>
        <v>103.1</v>
      </c>
      <c r="O37" s="43">
        <f t="shared" si="15"/>
        <v>10</v>
      </c>
      <c r="P37" s="43">
        <v>1445931.4</v>
      </c>
      <c r="Q37" s="43">
        <f t="shared" si="13"/>
        <v>47681.2</v>
      </c>
      <c r="R37" s="43">
        <f t="shared" si="16"/>
        <v>40326.1</v>
      </c>
    </row>
    <row r="38" spans="1:18" ht="12.75">
      <c r="A38" s="53" t="s">
        <v>69</v>
      </c>
      <c r="B38" s="10" t="s">
        <v>70</v>
      </c>
      <c r="C38" s="14"/>
      <c r="D38" s="50">
        <v>6501.8</v>
      </c>
      <c r="E38" s="50">
        <f t="shared" si="5"/>
        <v>-774.8</v>
      </c>
      <c r="F38" s="50">
        <f t="shared" si="10"/>
        <v>-774.8</v>
      </c>
      <c r="G38" s="50">
        <v>5727</v>
      </c>
      <c r="H38" s="50"/>
      <c r="I38" s="50"/>
      <c r="J38" s="50">
        <v>6581.4</v>
      </c>
      <c r="K38" s="50">
        <f t="shared" si="8"/>
        <v>-575.7</v>
      </c>
      <c r="L38" s="50">
        <f t="shared" si="9"/>
        <v>-575.7</v>
      </c>
      <c r="M38" s="52">
        <v>6005.7</v>
      </c>
      <c r="N38" s="45">
        <f t="shared" si="12"/>
        <v>101.2</v>
      </c>
      <c r="O38" s="46">
        <f t="shared" si="15"/>
        <v>104.9</v>
      </c>
      <c r="P38" s="46"/>
      <c r="Q38" s="46"/>
      <c r="R38" s="46"/>
    </row>
    <row r="39" spans="1:18" ht="15.75" customHeight="1" outlineLevel="1">
      <c r="A39" s="6" t="s">
        <v>71</v>
      </c>
      <c r="B39" s="7" t="s">
        <v>72</v>
      </c>
      <c r="C39" s="8" t="e">
        <f>C40+#REF!+C41+#REF!+#REF!+C42</f>
        <v>#REF!</v>
      </c>
      <c r="D39" s="36">
        <f>D40+D41+D42</f>
        <v>108244.1</v>
      </c>
      <c r="E39" s="36">
        <f aca="true" t="shared" si="21" ref="E39:M39">E40+E41+E42</f>
        <v>66412.9</v>
      </c>
      <c r="F39" s="36">
        <f t="shared" si="21"/>
        <v>66412.9</v>
      </c>
      <c r="G39" s="36">
        <f t="shared" si="21"/>
        <v>174657</v>
      </c>
      <c r="H39" s="36">
        <f t="shared" si="21"/>
        <v>0</v>
      </c>
      <c r="I39" s="36">
        <f t="shared" si="21"/>
        <v>0</v>
      </c>
      <c r="J39" s="36">
        <f t="shared" si="21"/>
        <v>110805</v>
      </c>
      <c r="K39" s="36">
        <f t="shared" si="21"/>
        <v>47636.2</v>
      </c>
      <c r="L39" s="36">
        <f t="shared" si="21"/>
        <v>47636.2</v>
      </c>
      <c r="M39" s="37">
        <f t="shared" si="21"/>
        <v>158441.2</v>
      </c>
      <c r="N39" s="38">
        <f t="shared" si="12"/>
        <v>102.4</v>
      </c>
      <c r="O39" s="39">
        <f t="shared" si="15"/>
        <v>90.7</v>
      </c>
      <c r="P39" s="39">
        <v>7030716.8</v>
      </c>
      <c r="Q39" s="39">
        <f t="shared" si="13"/>
        <v>6345.1</v>
      </c>
      <c r="R39" s="39">
        <f t="shared" si="16"/>
        <v>4437.4</v>
      </c>
    </row>
    <row r="40" spans="1:18" ht="15.75" customHeight="1" outlineLevel="1">
      <c r="A40" s="9" t="s">
        <v>73</v>
      </c>
      <c r="B40" s="10" t="s">
        <v>74</v>
      </c>
      <c r="C40" s="11">
        <v>3185352.7</v>
      </c>
      <c r="D40" s="40">
        <v>37423.7</v>
      </c>
      <c r="E40" s="40">
        <f t="shared" si="5"/>
        <v>101593.9</v>
      </c>
      <c r="F40" s="40">
        <f t="shared" si="10"/>
        <v>101593.9</v>
      </c>
      <c r="G40" s="40">
        <v>139017.6</v>
      </c>
      <c r="H40" s="40"/>
      <c r="I40" s="40"/>
      <c r="J40" s="40">
        <v>38311.1</v>
      </c>
      <c r="K40" s="40">
        <f t="shared" si="8"/>
        <v>78803.1</v>
      </c>
      <c r="L40" s="40">
        <f t="shared" si="9"/>
        <v>78803.1</v>
      </c>
      <c r="M40" s="41">
        <v>117114.2</v>
      </c>
      <c r="N40" s="42">
        <f t="shared" si="12"/>
        <v>102.4</v>
      </c>
      <c r="O40" s="43">
        <f t="shared" si="15"/>
        <v>84.2</v>
      </c>
      <c r="P40" s="43">
        <v>4315795.6</v>
      </c>
      <c r="Q40" s="43">
        <f t="shared" si="13"/>
        <v>11265.1</v>
      </c>
      <c r="R40" s="43">
        <f t="shared" si="16"/>
        <v>3685.1</v>
      </c>
    </row>
    <row r="41" spans="1:18" ht="12.75" outlineLevel="1">
      <c r="A41" s="9" t="s">
        <v>75</v>
      </c>
      <c r="B41" s="10" t="s">
        <v>76</v>
      </c>
      <c r="C41" s="11">
        <v>125647.5</v>
      </c>
      <c r="D41" s="40">
        <v>66400</v>
      </c>
      <c r="E41" s="40">
        <f t="shared" si="5"/>
        <v>-35579.2</v>
      </c>
      <c r="F41" s="40">
        <f t="shared" si="10"/>
        <v>-35579.2</v>
      </c>
      <c r="G41" s="40">
        <v>30820.8</v>
      </c>
      <c r="H41" s="40"/>
      <c r="I41" s="40"/>
      <c r="J41" s="40">
        <v>67975</v>
      </c>
      <c r="K41" s="40">
        <f t="shared" si="8"/>
        <v>-31708</v>
      </c>
      <c r="L41" s="40">
        <f t="shared" si="9"/>
        <v>-31708</v>
      </c>
      <c r="M41" s="41">
        <v>36267</v>
      </c>
      <c r="N41" s="42">
        <f t="shared" si="12"/>
        <v>102.4</v>
      </c>
      <c r="O41" s="43">
        <f t="shared" si="15"/>
        <v>117.7</v>
      </c>
      <c r="P41" s="43">
        <v>209064.6</v>
      </c>
      <c r="Q41" s="43">
        <f t="shared" si="13"/>
        <v>307.6</v>
      </c>
      <c r="R41" s="43">
        <f t="shared" si="16"/>
        <v>576.5</v>
      </c>
    </row>
    <row r="42" spans="1:18" ht="12.75">
      <c r="A42" s="9" t="s">
        <v>77</v>
      </c>
      <c r="B42" s="10" t="s">
        <v>78</v>
      </c>
      <c r="C42" s="11">
        <v>5931970.4</v>
      </c>
      <c r="D42" s="40">
        <v>4420.4</v>
      </c>
      <c r="E42" s="40">
        <f t="shared" si="5"/>
        <v>398.2</v>
      </c>
      <c r="F42" s="40">
        <f t="shared" si="10"/>
        <v>398.2</v>
      </c>
      <c r="G42" s="40">
        <v>4818.6</v>
      </c>
      <c r="H42" s="40"/>
      <c r="I42" s="40"/>
      <c r="J42" s="40">
        <v>4518.9</v>
      </c>
      <c r="K42" s="40">
        <f t="shared" si="8"/>
        <v>541.1</v>
      </c>
      <c r="L42" s="40">
        <f t="shared" si="9"/>
        <v>541.1</v>
      </c>
      <c r="M42" s="41">
        <v>5060</v>
      </c>
      <c r="N42" s="42">
        <f t="shared" si="12"/>
        <v>102.2</v>
      </c>
      <c r="O42" s="43">
        <f t="shared" si="15"/>
        <v>105</v>
      </c>
      <c r="P42" s="43">
        <v>1587115.2</v>
      </c>
      <c r="Q42" s="43">
        <f t="shared" si="13"/>
        <v>35121.7</v>
      </c>
      <c r="R42" s="43">
        <f t="shared" si="16"/>
        <v>31365.9</v>
      </c>
    </row>
    <row r="43" spans="1:18" ht="12.75" outlineLevel="1">
      <c r="A43" s="6" t="s">
        <v>79</v>
      </c>
      <c r="B43" s="7" t="s">
        <v>80</v>
      </c>
      <c r="C43" s="8" t="e">
        <f>C44+#REF!+C45+#REF!+C47</f>
        <v>#REF!</v>
      </c>
      <c r="D43" s="36">
        <f>D44+D45+D47+D46</f>
        <v>152818.3</v>
      </c>
      <c r="E43" s="36">
        <f aca="true" t="shared" si="22" ref="E43:M43">E44+E45+E47+E46</f>
        <v>88449.6</v>
      </c>
      <c r="F43" s="36">
        <f t="shared" si="22"/>
        <v>88449.6</v>
      </c>
      <c r="G43" s="36">
        <f t="shared" si="22"/>
        <v>241267.9</v>
      </c>
      <c r="H43" s="36">
        <f t="shared" si="22"/>
        <v>0</v>
      </c>
      <c r="I43" s="36">
        <f t="shared" si="22"/>
        <v>0</v>
      </c>
      <c r="J43" s="36">
        <f t="shared" si="22"/>
        <v>155221.4</v>
      </c>
      <c r="K43" s="36">
        <f t="shared" si="22"/>
        <v>58572.9</v>
      </c>
      <c r="L43" s="36">
        <f t="shared" si="22"/>
        <v>58572.9</v>
      </c>
      <c r="M43" s="37">
        <f t="shared" si="22"/>
        <v>213794.3</v>
      </c>
      <c r="N43" s="38">
        <f t="shared" si="12"/>
        <v>101.6</v>
      </c>
      <c r="O43" s="39">
        <f t="shared" si="15"/>
        <v>88.6</v>
      </c>
      <c r="P43" s="39">
        <v>9453341.1</v>
      </c>
      <c r="Q43" s="39">
        <f t="shared" si="13"/>
        <v>6090.2</v>
      </c>
      <c r="R43" s="39">
        <f t="shared" si="16"/>
        <v>4421.7</v>
      </c>
    </row>
    <row r="44" spans="1:18" ht="12.75" outlineLevel="1">
      <c r="A44" s="9" t="s">
        <v>81</v>
      </c>
      <c r="B44" s="10" t="s">
        <v>82</v>
      </c>
      <c r="C44" s="11">
        <v>34640</v>
      </c>
      <c r="D44" s="40">
        <v>2526.6</v>
      </c>
      <c r="E44" s="40">
        <f t="shared" si="5"/>
        <v>1006.6</v>
      </c>
      <c r="F44" s="40">
        <f t="shared" si="10"/>
        <v>1006.6</v>
      </c>
      <c r="G44" s="40">
        <v>3533.2</v>
      </c>
      <c r="H44" s="40"/>
      <c r="I44" s="40"/>
      <c r="J44" s="40">
        <v>2526.6</v>
      </c>
      <c r="K44" s="40">
        <f t="shared" si="8"/>
        <v>1006.6</v>
      </c>
      <c r="L44" s="40">
        <f t="shared" si="9"/>
        <v>1006.6</v>
      </c>
      <c r="M44" s="41">
        <v>3533.2</v>
      </c>
      <c r="N44" s="42">
        <f t="shared" si="12"/>
        <v>100</v>
      </c>
      <c r="O44" s="43">
        <f t="shared" si="15"/>
        <v>100</v>
      </c>
      <c r="P44" s="43">
        <v>54368</v>
      </c>
      <c r="Q44" s="43">
        <f t="shared" si="13"/>
        <v>2151.8</v>
      </c>
      <c r="R44" s="43">
        <f t="shared" si="16"/>
        <v>1538.8</v>
      </c>
    </row>
    <row r="45" spans="1:18" ht="15" customHeight="1" outlineLevel="1">
      <c r="A45" s="9" t="s">
        <v>83</v>
      </c>
      <c r="B45" s="10" t="s">
        <v>84</v>
      </c>
      <c r="C45" s="11">
        <v>5478900.4</v>
      </c>
      <c r="D45" s="40">
        <v>114195.2</v>
      </c>
      <c r="E45" s="40">
        <f t="shared" si="5"/>
        <v>42489</v>
      </c>
      <c r="F45" s="40">
        <f t="shared" si="10"/>
        <v>42489</v>
      </c>
      <c r="G45" s="40">
        <v>156684.2</v>
      </c>
      <c r="H45" s="40"/>
      <c r="I45" s="40"/>
      <c r="J45" s="40">
        <v>116598.3</v>
      </c>
      <c r="K45" s="40">
        <f t="shared" si="8"/>
        <v>11466.1</v>
      </c>
      <c r="L45" s="40">
        <f t="shared" si="9"/>
        <v>11466.1</v>
      </c>
      <c r="M45" s="41">
        <v>128064.4</v>
      </c>
      <c r="N45" s="42">
        <f t="shared" si="12"/>
        <v>102.1</v>
      </c>
      <c r="O45" s="43">
        <f t="shared" si="15"/>
        <v>81.7</v>
      </c>
      <c r="P45" s="43">
        <v>6397298.4</v>
      </c>
      <c r="Q45" s="43">
        <f t="shared" si="13"/>
        <v>5486.6</v>
      </c>
      <c r="R45" s="43">
        <f t="shared" si="16"/>
        <v>4995.4</v>
      </c>
    </row>
    <row r="46" spans="1:18" ht="15" customHeight="1" outlineLevel="1">
      <c r="A46" s="9" t="s">
        <v>85</v>
      </c>
      <c r="B46" s="10" t="s">
        <v>120</v>
      </c>
      <c r="C46" s="11"/>
      <c r="D46" s="40">
        <v>36096.5</v>
      </c>
      <c r="E46" s="40">
        <f t="shared" si="5"/>
        <v>44954</v>
      </c>
      <c r="F46" s="40">
        <f t="shared" si="10"/>
        <v>44954</v>
      </c>
      <c r="G46" s="40">
        <v>81050.5</v>
      </c>
      <c r="H46" s="40"/>
      <c r="I46" s="40"/>
      <c r="J46" s="40">
        <v>36096.5</v>
      </c>
      <c r="K46" s="40">
        <f t="shared" si="8"/>
        <v>46100.2</v>
      </c>
      <c r="L46" s="40">
        <f t="shared" si="9"/>
        <v>46100.2</v>
      </c>
      <c r="M46" s="41">
        <v>82196.7</v>
      </c>
      <c r="N46" s="42">
        <f t="shared" si="12"/>
        <v>100</v>
      </c>
      <c r="O46" s="43">
        <f t="shared" si="15"/>
        <v>101.4</v>
      </c>
      <c r="P46" s="43"/>
      <c r="Q46" s="43"/>
      <c r="R46" s="43"/>
    </row>
    <row r="47" spans="1:18" ht="14.25" customHeight="1" hidden="1">
      <c r="A47" s="9" t="s">
        <v>86</v>
      </c>
      <c r="B47" s="10" t="s">
        <v>87</v>
      </c>
      <c r="C47" s="11">
        <v>336762.3</v>
      </c>
      <c r="D47" s="40"/>
      <c r="E47" s="40">
        <f t="shared" si="5"/>
        <v>0</v>
      </c>
      <c r="F47" s="40">
        <f t="shared" si="10"/>
        <v>0</v>
      </c>
      <c r="G47" s="40">
        <v>0</v>
      </c>
      <c r="H47" s="40"/>
      <c r="I47" s="40"/>
      <c r="J47" s="40"/>
      <c r="K47" s="40">
        <f t="shared" si="8"/>
        <v>0</v>
      </c>
      <c r="L47" s="40">
        <f t="shared" si="9"/>
        <v>0</v>
      </c>
      <c r="M47" s="41">
        <v>0</v>
      </c>
      <c r="N47" s="42" t="e">
        <f t="shared" si="12"/>
        <v>#DIV/0!</v>
      </c>
      <c r="O47" s="43" t="e">
        <f t="shared" si="15"/>
        <v>#DIV/0!</v>
      </c>
      <c r="P47" s="43">
        <v>433217.8</v>
      </c>
      <c r="Q47" s="43" t="e">
        <f t="shared" si="13"/>
        <v>#DIV/0!</v>
      </c>
      <c r="R47" s="43" t="e">
        <f t="shared" si="16"/>
        <v>#DIV/0!</v>
      </c>
    </row>
    <row r="48" spans="1:18" ht="15.75" customHeight="1" outlineLevel="1">
      <c r="A48" s="6" t="s">
        <v>88</v>
      </c>
      <c r="B48" s="7" t="s">
        <v>89</v>
      </c>
      <c r="C48" s="8" t="e">
        <f>C49+#REF!+#REF!+C50</f>
        <v>#REF!</v>
      </c>
      <c r="D48" s="36">
        <f>D49+D50</f>
        <v>39709.3</v>
      </c>
      <c r="E48" s="36">
        <f aca="true" t="shared" si="23" ref="E48:M48">E49+E50</f>
        <v>-5796.4</v>
      </c>
      <c r="F48" s="36">
        <f t="shared" si="23"/>
        <v>-5796.4</v>
      </c>
      <c r="G48" s="36">
        <f t="shared" si="23"/>
        <v>33912.9</v>
      </c>
      <c r="H48" s="36">
        <f t="shared" si="23"/>
        <v>0.53</v>
      </c>
      <c r="I48" s="36">
        <f t="shared" si="23"/>
        <v>0.45</v>
      </c>
      <c r="J48" s="36">
        <f t="shared" si="23"/>
        <v>14796.3</v>
      </c>
      <c r="K48" s="36">
        <f t="shared" si="23"/>
        <v>8560.7</v>
      </c>
      <c r="L48" s="36">
        <f t="shared" si="23"/>
        <v>8560.7</v>
      </c>
      <c r="M48" s="37">
        <f t="shared" si="23"/>
        <v>23357</v>
      </c>
      <c r="N48" s="44" t="e">
        <f>N49+#REF!+#REF!+N50</f>
        <v>#REF!</v>
      </c>
      <c r="O48" s="36" t="e">
        <f>O49+#REF!+#REF!+O50</f>
        <v>#REF!</v>
      </c>
      <c r="P48" s="36" t="e">
        <f>P49+#REF!+#REF!+P50</f>
        <v>#REF!</v>
      </c>
      <c r="Q48" s="36" t="e">
        <f>Q49+#REF!+#REF!+Q50</f>
        <v>#REF!</v>
      </c>
      <c r="R48" s="36" t="e">
        <f>R49+#REF!+#REF!+R50</f>
        <v>#REF!</v>
      </c>
    </row>
    <row r="49" spans="1:18" ht="16.5" customHeight="1" outlineLevel="1">
      <c r="A49" s="54" t="s">
        <v>90</v>
      </c>
      <c r="B49" s="55" t="s">
        <v>91</v>
      </c>
      <c r="C49" s="56">
        <v>7482939.6</v>
      </c>
      <c r="D49" s="57">
        <v>39709.3</v>
      </c>
      <c r="E49" s="57">
        <f t="shared" si="5"/>
        <v>-5796.4</v>
      </c>
      <c r="F49" s="57">
        <f t="shared" si="10"/>
        <v>-5796.4</v>
      </c>
      <c r="G49" s="57">
        <v>33912.9</v>
      </c>
      <c r="H49" s="57">
        <f>D49/C49*100</f>
        <v>0.53</v>
      </c>
      <c r="I49" s="57">
        <f>G49/C49*100</f>
        <v>0.45</v>
      </c>
      <c r="J49" s="57">
        <v>14796.3</v>
      </c>
      <c r="K49" s="57">
        <f t="shared" si="8"/>
        <v>8560.7</v>
      </c>
      <c r="L49" s="57">
        <f t="shared" si="9"/>
        <v>8560.7</v>
      </c>
      <c r="M49" s="58">
        <v>23357</v>
      </c>
      <c r="N49" s="42">
        <f t="shared" si="12"/>
        <v>37.3</v>
      </c>
      <c r="O49" s="43">
        <f t="shared" si="15"/>
        <v>68.9</v>
      </c>
      <c r="P49" s="43">
        <v>9740207.6</v>
      </c>
      <c r="Q49" s="43">
        <f t="shared" si="13"/>
        <v>65828.7</v>
      </c>
      <c r="R49" s="43">
        <f t="shared" si="16"/>
        <v>41701.4</v>
      </c>
    </row>
    <row r="50" spans="1:18" ht="12.75" hidden="1">
      <c r="A50" s="59" t="s">
        <v>92</v>
      </c>
      <c r="B50" s="60" t="s">
        <v>93</v>
      </c>
      <c r="C50" s="61">
        <v>217197.9</v>
      </c>
      <c r="D50" s="62"/>
      <c r="E50" s="62">
        <f>G50-D50</f>
        <v>0</v>
      </c>
      <c r="F50" s="62">
        <f>G50-D50</f>
        <v>0</v>
      </c>
      <c r="G50" s="62"/>
      <c r="H50" s="62"/>
      <c r="I50" s="62"/>
      <c r="J50" s="62"/>
      <c r="K50" s="62">
        <f>M50-J50</f>
        <v>0</v>
      </c>
      <c r="L50" s="62">
        <f>M50-J50</f>
        <v>0</v>
      </c>
      <c r="M50" s="63"/>
      <c r="N50" s="42" t="e">
        <f t="shared" si="12"/>
        <v>#DIV/0!</v>
      </c>
      <c r="O50" s="43" t="e">
        <f t="shared" si="15"/>
        <v>#DIV/0!</v>
      </c>
      <c r="P50" s="43">
        <v>71804.4</v>
      </c>
      <c r="Q50" s="43" t="e">
        <f t="shared" si="13"/>
        <v>#DIV/0!</v>
      </c>
      <c r="R50" s="43" t="e">
        <f t="shared" si="16"/>
        <v>#DIV/0!</v>
      </c>
    </row>
    <row r="51" spans="1:18" s="3" customFormat="1" ht="15" customHeight="1">
      <c r="A51" s="64" t="s">
        <v>94</v>
      </c>
      <c r="B51" s="65" t="s">
        <v>95</v>
      </c>
      <c r="C51" s="8"/>
      <c r="D51" s="36">
        <f aca="true" t="shared" si="24" ref="D51:M51">D52</f>
        <v>2983.7</v>
      </c>
      <c r="E51" s="36">
        <f t="shared" si="24"/>
        <v>-216.9</v>
      </c>
      <c r="F51" s="36">
        <f t="shared" si="24"/>
        <v>-216.9</v>
      </c>
      <c r="G51" s="36">
        <f t="shared" si="24"/>
        <v>2766.8</v>
      </c>
      <c r="H51" s="36">
        <f t="shared" si="24"/>
        <v>0</v>
      </c>
      <c r="I51" s="36">
        <f t="shared" si="24"/>
        <v>0</v>
      </c>
      <c r="J51" s="36">
        <f t="shared" si="24"/>
        <v>2944.4</v>
      </c>
      <c r="K51" s="36">
        <f t="shared" si="24"/>
        <v>-177.6</v>
      </c>
      <c r="L51" s="36">
        <f t="shared" si="24"/>
        <v>-177.6</v>
      </c>
      <c r="M51" s="37">
        <f t="shared" si="24"/>
        <v>2766.8</v>
      </c>
      <c r="N51" s="66"/>
      <c r="O51" s="67"/>
      <c r="P51" s="67"/>
      <c r="Q51" s="67"/>
      <c r="R51" s="67"/>
    </row>
    <row r="52" spans="1:18" ht="14.25" customHeight="1">
      <c r="A52" s="68" t="s">
        <v>96</v>
      </c>
      <c r="B52" s="69" t="s">
        <v>97</v>
      </c>
      <c r="C52" s="14"/>
      <c r="D52" s="40">
        <v>2983.7</v>
      </c>
      <c r="E52" s="40">
        <f>G52-D52</f>
        <v>-216.9</v>
      </c>
      <c r="F52" s="40">
        <f>G52-D52</f>
        <v>-216.9</v>
      </c>
      <c r="G52" s="40">
        <v>2766.8</v>
      </c>
      <c r="H52" s="40"/>
      <c r="I52" s="40"/>
      <c r="J52" s="40">
        <v>2944.4</v>
      </c>
      <c r="K52" s="40">
        <f>M52-J52</f>
        <v>-177.6</v>
      </c>
      <c r="L52" s="40">
        <f>M52-J52</f>
        <v>-177.6</v>
      </c>
      <c r="M52" s="41">
        <v>2766.8</v>
      </c>
      <c r="N52" s="45"/>
      <c r="O52" s="46"/>
      <c r="P52" s="46"/>
      <c r="Q52" s="46"/>
      <c r="R52" s="46"/>
    </row>
    <row r="53" spans="1:18" s="3" customFormat="1" ht="12.75">
      <c r="A53" s="2" t="s">
        <v>98</v>
      </c>
      <c r="B53" s="65" t="s">
        <v>99</v>
      </c>
      <c r="C53" s="8"/>
      <c r="D53" s="36">
        <f aca="true" t="shared" si="25" ref="D53:M53">D54</f>
        <v>386.7</v>
      </c>
      <c r="E53" s="36">
        <f t="shared" si="25"/>
        <v>-386.7</v>
      </c>
      <c r="F53" s="36">
        <f t="shared" si="25"/>
        <v>-386.7</v>
      </c>
      <c r="G53" s="36">
        <f t="shared" si="25"/>
        <v>0</v>
      </c>
      <c r="H53" s="36">
        <f t="shared" si="25"/>
        <v>0</v>
      </c>
      <c r="I53" s="36">
        <f t="shared" si="25"/>
        <v>0</v>
      </c>
      <c r="J53" s="36">
        <f t="shared" si="25"/>
        <v>0</v>
      </c>
      <c r="K53" s="36">
        <f t="shared" si="25"/>
        <v>0</v>
      </c>
      <c r="L53" s="36">
        <f t="shared" si="25"/>
        <v>0</v>
      </c>
      <c r="M53" s="37">
        <f t="shared" si="25"/>
        <v>0</v>
      </c>
      <c r="N53" s="66"/>
      <c r="O53" s="67"/>
      <c r="P53" s="67"/>
      <c r="Q53" s="67"/>
      <c r="R53" s="67"/>
    </row>
    <row r="54" spans="1:18" ht="12.75">
      <c r="A54" s="70" t="s">
        <v>100</v>
      </c>
      <c r="B54" s="71" t="s">
        <v>101</v>
      </c>
      <c r="C54" s="72"/>
      <c r="D54" s="40">
        <v>386.7</v>
      </c>
      <c r="E54" s="40">
        <f>G54-D54</f>
        <v>-386.7</v>
      </c>
      <c r="F54" s="40">
        <f>G54-D54</f>
        <v>-386.7</v>
      </c>
      <c r="G54" s="40"/>
      <c r="H54" s="40"/>
      <c r="I54" s="40"/>
      <c r="J54" s="40"/>
      <c r="K54" s="40">
        <f>M54-J54</f>
        <v>0</v>
      </c>
      <c r="L54" s="40">
        <f>M54-J54</f>
        <v>0</v>
      </c>
      <c r="M54" s="41"/>
      <c r="N54" s="45"/>
      <c r="O54" s="46"/>
      <c r="P54" s="46"/>
      <c r="Q54" s="46"/>
      <c r="R54" s="46"/>
    </row>
    <row r="55" spans="1:18" ht="15.75" customHeight="1" outlineLevel="1">
      <c r="A55" s="6" t="s">
        <v>102</v>
      </c>
      <c r="B55" s="7" t="s">
        <v>103</v>
      </c>
      <c r="C55" s="8" t="e">
        <f>C56+#REF!+#REF!+C58</f>
        <v>#REF!</v>
      </c>
      <c r="D55" s="36">
        <f>D56+D57+D58</f>
        <v>49208</v>
      </c>
      <c r="E55" s="36">
        <f aca="true" t="shared" si="26" ref="E55:R55">E56+E57+E58</f>
        <v>42212</v>
      </c>
      <c r="F55" s="36">
        <f t="shared" si="26"/>
        <v>35536</v>
      </c>
      <c r="G55" s="36">
        <f t="shared" si="26"/>
        <v>84744</v>
      </c>
      <c r="H55" s="36">
        <f t="shared" si="26"/>
        <v>0.06</v>
      </c>
      <c r="I55" s="36">
        <f t="shared" si="26"/>
        <v>0.62</v>
      </c>
      <c r="J55" s="36">
        <f t="shared" si="26"/>
        <v>49685</v>
      </c>
      <c r="K55" s="36">
        <f t="shared" si="26"/>
        <v>45142</v>
      </c>
      <c r="L55" s="36">
        <f t="shared" si="26"/>
        <v>40142</v>
      </c>
      <c r="M55" s="37">
        <f t="shared" si="26"/>
        <v>89827</v>
      </c>
      <c r="N55" s="44" t="e">
        <f t="shared" si="26"/>
        <v>#DIV/0!</v>
      </c>
      <c r="O55" s="36" t="e">
        <f t="shared" si="26"/>
        <v>#DIV/0!</v>
      </c>
      <c r="P55" s="36">
        <f t="shared" si="26"/>
        <v>9812012</v>
      </c>
      <c r="Q55" s="36" t="e">
        <f t="shared" si="26"/>
        <v>#DIV/0!</v>
      </c>
      <c r="R55" s="36" t="e">
        <f t="shared" si="26"/>
        <v>#DIV/0!</v>
      </c>
    </row>
    <row r="56" spans="1:18" ht="26.25" customHeight="1" outlineLevel="1">
      <c r="A56" s="9" t="s">
        <v>104</v>
      </c>
      <c r="B56" s="10" t="s">
        <v>105</v>
      </c>
      <c r="C56" s="11">
        <v>7482939.6</v>
      </c>
      <c r="D56" s="40">
        <v>4208</v>
      </c>
      <c r="E56" s="40">
        <f>G56-D56</f>
        <v>42212</v>
      </c>
      <c r="F56" s="40">
        <f>G56-D56</f>
        <v>42212</v>
      </c>
      <c r="G56" s="40">
        <v>46420</v>
      </c>
      <c r="H56" s="40">
        <f>D56/C56*100</f>
        <v>0.06</v>
      </c>
      <c r="I56" s="40">
        <f>G56/C56*100</f>
        <v>0.62</v>
      </c>
      <c r="J56" s="40">
        <v>4685</v>
      </c>
      <c r="K56" s="40">
        <f>M56-J56</f>
        <v>45142</v>
      </c>
      <c r="L56" s="40">
        <f>M56-J56</f>
        <v>45142</v>
      </c>
      <c r="M56" s="41">
        <v>49827</v>
      </c>
      <c r="N56" s="42">
        <f>J56/D56*100</f>
        <v>111.3</v>
      </c>
      <c r="O56" s="43">
        <f>M56/G56*100</f>
        <v>107.3</v>
      </c>
      <c r="P56" s="43">
        <v>9740207.6</v>
      </c>
      <c r="Q56" s="43">
        <f>P56/J56*100</f>
        <v>207902</v>
      </c>
      <c r="R56" s="43">
        <f>P56/M56*100</f>
        <v>19548.1</v>
      </c>
    </row>
    <row r="57" spans="1:18" ht="15.75" customHeight="1" outlineLevel="1">
      <c r="A57" s="9" t="s">
        <v>106</v>
      </c>
      <c r="B57" s="10" t="s">
        <v>107</v>
      </c>
      <c r="C57" s="11"/>
      <c r="D57" s="40">
        <v>45000</v>
      </c>
      <c r="E57" s="40"/>
      <c r="F57" s="40">
        <f>G57-D57</f>
        <v>-6676</v>
      </c>
      <c r="G57" s="40">
        <v>38324</v>
      </c>
      <c r="H57" s="40"/>
      <c r="I57" s="40"/>
      <c r="J57" s="40">
        <v>45000</v>
      </c>
      <c r="K57" s="40"/>
      <c r="L57" s="40">
        <f>M57-J57</f>
        <v>-5000</v>
      </c>
      <c r="M57" s="41">
        <v>40000</v>
      </c>
      <c r="N57" s="42"/>
      <c r="O57" s="43"/>
      <c r="P57" s="43"/>
      <c r="Q57" s="43"/>
      <c r="R57" s="43"/>
    </row>
    <row r="58" spans="1:18" ht="12.75" hidden="1">
      <c r="A58" s="9" t="s">
        <v>108</v>
      </c>
      <c r="B58" s="10" t="s">
        <v>109</v>
      </c>
      <c r="C58" s="11">
        <v>217197.9</v>
      </c>
      <c r="D58" s="40"/>
      <c r="E58" s="40">
        <f>G58-D58</f>
        <v>0</v>
      </c>
      <c r="F58" s="40">
        <f>G58-D58</f>
        <v>0</v>
      </c>
      <c r="G58" s="40"/>
      <c r="H58" s="40">
        <f>D58/C58*100</f>
        <v>0</v>
      </c>
      <c r="I58" s="40">
        <f>G58/C58*100</f>
        <v>0</v>
      </c>
      <c r="J58" s="40"/>
      <c r="K58" s="40">
        <f>M58-J58</f>
        <v>0</v>
      </c>
      <c r="L58" s="40">
        <f>M58-J58</f>
        <v>0</v>
      </c>
      <c r="M58" s="41"/>
      <c r="N58" s="42" t="e">
        <f>J58/D58*100</f>
        <v>#DIV/0!</v>
      </c>
      <c r="O58" s="43" t="e">
        <f>M58/G58*100</f>
        <v>#DIV/0!</v>
      </c>
      <c r="P58" s="43">
        <v>71804.4</v>
      </c>
      <c r="Q58" s="43" t="e">
        <f>P58/J58*100</f>
        <v>#DIV/0!</v>
      </c>
      <c r="R58" s="43" t="e">
        <f>P58/M58*100</f>
        <v>#DIV/0!</v>
      </c>
    </row>
    <row r="59" spans="1:18" ht="12.75">
      <c r="A59" s="6" t="s">
        <v>110</v>
      </c>
      <c r="B59" s="7" t="s">
        <v>111</v>
      </c>
      <c r="C59" s="8">
        <f>C60</f>
        <v>0</v>
      </c>
      <c r="D59" s="36">
        <f>D60</f>
        <v>42585</v>
      </c>
      <c r="E59" s="36">
        <f t="shared" si="5"/>
        <v>-42585</v>
      </c>
      <c r="F59" s="36">
        <f>G59-D59</f>
        <v>-42585</v>
      </c>
      <c r="G59" s="36"/>
      <c r="H59" s="36"/>
      <c r="I59" s="36"/>
      <c r="J59" s="36">
        <f>J60</f>
        <v>211977.1</v>
      </c>
      <c r="K59" s="36">
        <f>M59-J59</f>
        <v>19925.1</v>
      </c>
      <c r="L59" s="36">
        <f>M59-J59</f>
        <v>19925.1</v>
      </c>
      <c r="M59" s="37">
        <f>M60</f>
        <v>231902.2</v>
      </c>
      <c r="N59" s="38">
        <f>J59/D59*100</f>
        <v>497.8</v>
      </c>
      <c r="O59" s="39"/>
      <c r="P59" s="39">
        <v>3679403.2</v>
      </c>
      <c r="Q59" s="39">
        <f>P59/J59*100</f>
        <v>1735.8</v>
      </c>
      <c r="R59" s="39">
        <f t="shared" si="16"/>
        <v>1586.6</v>
      </c>
    </row>
    <row r="60" spans="1:18" ht="12.75">
      <c r="A60" s="9" t="s">
        <v>112</v>
      </c>
      <c r="B60" s="10" t="s">
        <v>113</v>
      </c>
      <c r="C60" s="11"/>
      <c r="D60" s="40">
        <v>42585</v>
      </c>
      <c r="E60" s="40">
        <f t="shared" si="5"/>
        <v>-42585</v>
      </c>
      <c r="F60" s="40">
        <f>G60-D60</f>
        <v>-42585</v>
      </c>
      <c r="G60" s="40">
        <v>0</v>
      </c>
      <c r="H60" s="40"/>
      <c r="I60" s="40"/>
      <c r="J60" s="40">
        <v>211977.1</v>
      </c>
      <c r="K60" s="40">
        <f>M60-J60</f>
        <v>19925.1</v>
      </c>
      <c r="L60" s="40">
        <f>M60-J60</f>
        <v>19925.1</v>
      </c>
      <c r="M60" s="41">
        <v>231902.2</v>
      </c>
      <c r="N60" s="42">
        <f>J60/D60*100</f>
        <v>497.8</v>
      </c>
      <c r="O60" s="43"/>
      <c r="P60" s="43">
        <v>3679403.2</v>
      </c>
      <c r="Q60" s="43">
        <f>P60/J60*100</f>
        <v>1735.8</v>
      </c>
      <c r="R60" s="43">
        <f t="shared" si="16"/>
        <v>1586.6</v>
      </c>
    </row>
    <row r="61" spans="1:18" ht="12.75">
      <c r="A61" s="73" t="s">
        <v>111</v>
      </c>
      <c r="B61" s="220" t="s">
        <v>328</v>
      </c>
      <c r="C61" s="75" t="e">
        <f>C5+#REF!+C14+C18+C24+C29+C31+C36+C39+C43+C48+C59</f>
        <v>#REF!</v>
      </c>
      <c r="D61" s="76">
        <f>D5+D14+D18+D24+D29+D31+D36+D39+D43+D48+D59+D51+D53+D55</f>
        <v>1643661.7</v>
      </c>
      <c r="E61" s="76">
        <f aca="true" t="shared" si="27" ref="E61:M61">E5+E14+E18+E24+E29+E31+E36+E39+E43+E48+E59+E51+E53+E55</f>
        <v>664850.4</v>
      </c>
      <c r="F61" s="76">
        <f t="shared" si="27"/>
        <v>749561.6</v>
      </c>
      <c r="G61" s="76">
        <f t="shared" si="27"/>
        <v>2419624.3</v>
      </c>
      <c r="H61" s="76">
        <f t="shared" si="27"/>
        <v>222.44</v>
      </c>
      <c r="I61" s="76">
        <f t="shared" si="27"/>
        <v>277.42</v>
      </c>
      <c r="J61" s="76">
        <f t="shared" si="27"/>
        <v>1813731.5</v>
      </c>
      <c r="K61" s="76">
        <f t="shared" si="27"/>
        <v>454248.9</v>
      </c>
      <c r="L61" s="76">
        <f t="shared" si="27"/>
        <v>500479.7</v>
      </c>
      <c r="M61" s="77">
        <f t="shared" si="27"/>
        <v>2319348.4</v>
      </c>
      <c r="N61" s="78">
        <f>J61/D61*100</f>
        <v>110.3</v>
      </c>
      <c r="O61" s="79">
        <f>M61/G61*100</f>
        <v>95.9</v>
      </c>
      <c r="P61" s="79">
        <v>75150015.7</v>
      </c>
      <c r="Q61" s="79">
        <f>P61/J61*100</f>
        <v>4143.4</v>
      </c>
      <c r="R61" s="79">
        <f t="shared" si="16"/>
        <v>3240.1</v>
      </c>
    </row>
    <row r="62" spans="1:18" ht="12.75" hidden="1">
      <c r="A62" s="15"/>
      <c r="B62" s="16" t="s">
        <v>121</v>
      </c>
      <c r="C62" s="17"/>
      <c r="D62" s="18">
        <f>868842.5-368424</f>
        <v>500418.5</v>
      </c>
      <c r="E62" s="18"/>
      <c r="F62" s="18"/>
      <c r="G62" s="18"/>
      <c r="H62" s="18"/>
      <c r="I62" s="18"/>
      <c r="J62" s="18">
        <f>868842.5-368424</f>
        <v>500418.5</v>
      </c>
      <c r="K62" s="18"/>
      <c r="L62" s="18"/>
      <c r="M62" s="18"/>
      <c r="N62" s="19"/>
      <c r="O62" s="19"/>
      <c r="P62" s="19"/>
      <c r="Q62" s="19"/>
      <c r="R62" s="19"/>
    </row>
    <row r="63" spans="1:18" ht="12.75" hidden="1">
      <c r="A63" s="15"/>
      <c r="B63" s="16" t="s">
        <v>122</v>
      </c>
      <c r="C63" s="17"/>
      <c r="D63" s="18">
        <f>SUM(D61:D62)</f>
        <v>2144080.2</v>
      </c>
      <c r="E63" s="18"/>
      <c r="F63" s="18"/>
      <c r="G63" s="18"/>
      <c r="H63" s="18"/>
      <c r="I63" s="18"/>
      <c r="J63" s="18">
        <f>SUM(J61:J62)</f>
        <v>2314150</v>
      </c>
      <c r="K63" s="18"/>
      <c r="L63" s="18"/>
      <c r="M63" s="18"/>
      <c r="N63" s="19"/>
      <c r="O63" s="19"/>
      <c r="P63" s="19"/>
      <c r="Q63" s="19"/>
      <c r="R63" s="19"/>
    </row>
    <row r="64" spans="1:18" ht="12.75" hidden="1">
      <c r="A64" s="15"/>
      <c r="B64" s="16" t="s">
        <v>123</v>
      </c>
      <c r="C64" s="17"/>
      <c r="D64" s="18">
        <v>1258417.4</v>
      </c>
      <c r="E64" s="18"/>
      <c r="F64" s="18"/>
      <c r="G64" s="18"/>
      <c r="H64" s="18"/>
      <c r="I64" s="18"/>
      <c r="J64" s="18">
        <v>1258417.4</v>
      </c>
      <c r="K64" s="18"/>
      <c r="L64" s="18"/>
      <c r="M64" s="18"/>
      <c r="N64" s="19"/>
      <c r="O64" s="19"/>
      <c r="P64" s="19"/>
      <c r="Q64" s="19"/>
      <c r="R64" s="19"/>
    </row>
    <row r="65" spans="1:18" ht="12.75" hidden="1">
      <c r="A65" s="15"/>
      <c r="B65" s="16" t="s">
        <v>124</v>
      </c>
      <c r="C65" s="17"/>
      <c r="D65" s="18">
        <f>D63-D64</f>
        <v>885662.8</v>
      </c>
      <c r="E65" s="18"/>
      <c r="F65" s="18"/>
      <c r="G65" s="18"/>
      <c r="H65" s="18"/>
      <c r="I65" s="18"/>
      <c r="J65" s="18">
        <f>J63-J64</f>
        <v>1055732.6</v>
      </c>
      <c r="K65" s="18"/>
      <c r="L65" s="18"/>
      <c r="M65" s="18"/>
      <c r="N65" s="19"/>
      <c r="O65" s="19"/>
      <c r="P65" s="19"/>
      <c r="Q65" s="19"/>
      <c r="R65" s="19"/>
    </row>
    <row r="66" ht="12.75" customHeight="1"/>
    <row r="68" spans="7:12" ht="12.75">
      <c r="G68" s="22"/>
      <c r="L68" s="22"/>
    </row>
  </sheetData>
  <mergeCells count="1">
    <mergeCell ref="A1:M1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7">
      <selection activeCell="H5" sqref="H5"/>
    </sheetView>
  </sheetViews>
  <sheetFormatPr defaultColWidth="9.140625" defaultRowHeight="12.75"/>
  <cols>
    <col min="1" max="1" width="4.7109375" style="111" customWidth="1"/>
    <col min="2" max="2" width="24.421875" style="112" customWidth="1"/>
    <col min="3" max="3" width="34.57421875" style="112" customWidth="1"/>
    <col min="4" max="4" width="9.140625" style="111" customWidth="1"/>
    <col min="5" max="5" width="9.421875" style="111" customWidth="1"/>
    <col min="6" max="6" width="9.140625" style="111" customWidth="1"/>
    <col min="7" max="16384" width="9.140625" style="110" customWidth="1"/>
  </cols>
  <sheetData>
    <row r="1" spans="1:6" ht="16.5">
      <c r="A1" s="334" t="s">
        <v>335</v>
      </c>
      <c r="B1" s="334"/>
      <c r="C1" s="334"/>
      <c r="D1" s="334"/>
      <c r="E1" s="334"/>
      <c r="F1" s="334"/>
    </row>
    <row r="3" spans="1:6" ht="31.5">
      <c r="A3" s="113"/>
      <c r="B3" s="114" t="s">
        <v>267</v>
      </c>
      <c r="C3" s="114" t="s">
        <v>268</v>
      </c>
      <c r="D3" s="113" t="s">
        <v>257</v>
      </c>
      <c r="E3" s="113" t="s">
        <v>280</v>
      </c>
      <c r="F3" s="113" t="s">
        <v>334</v>
      </c>
    </row>
    <row r="4" spans="1:6" ht="152.25" customHeight="1">
      <c r="A4" s="115">
        <v>1</v>
      </c>
      <c r="B4" s="116" t="s">
        <v>333</v>
      </c>
      <c r="C4" s="116" t="s">
        <v>337</v>
      </c>
      <c r="D4" s="115">
        <v>72391.4</v>
      </c>
      <c r="E4" s="115">
        <v>72391.4</v>
      </c>
      <c r="F4" s="115">
        <v>72391.4</v>
      </c>
    </row>
    <row r="5" spans="1:6" ht="182.25" customHeight="1">
      <c r="A5" s="115">
        <v>2</v>
      </c>
      <c r="B5" s="116" t="s">
        <v>269</v>
      </c>
      <c r="C5" s="116" t="s">
        <v>270</v>
      </c>
      <c r="D5" s="115">
        <v>3533.2</v>
      </c>
      <c r="E5" s="115">
        <v>3533.2</v>
      </c>
      <c r="F5" s="115">
        <v>3533.2</v>
      </c>
    </row>
    <row r="6" spans="1:6" ht="113.25" customHeight="1">
      <c r="A6" s="115">
        <v>3</v>
      </c>
      <c r="B6" s="116" t="s">
        <v>271</v>
      </c>
      <c r="C6" s="116" t="s">
        <v>272</v>
      </c>
      <c r="D6" s="120">
        <v>172.5</v>
      </c>
      <c r="E6" s="120">
        <v>172.5</v>
      </c>
      <c r="F6" s="120">
        <v>172.5</v>
      </c>
    </row>
    <row r="7" spans="1:6" s="118" customFormat="1" ht="24.75" customHeight="1">
      <c r="A7" s="113"/>
      <c r="B7" s="117" t="s">
        <v>273</v>
      </c>
      <c r="C7" s="117"/>
      <c r="D7" s="113">
        <f>SUM(D4:D6)</f>
        <v>76097.1</v>
      </c>
      <c r="E7" s="113">
        <f>SUM(E4:E6)</f>
        <v>76097.1</v>
      </c>
      <c r="F7" s="113">
        <f>SUM(F4:F6)</f>
        <v>76097.1</v>
      </c>
    </row>
  </sheetData>
  <mergeCells count="1">
    <mergeCell ref="A1:F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B1">
      <selection activeCell="E19" sqref="E19"/>
    </sheetView>
  </sheetViews>
  <sheetFormatPr defaultColWidth="9.140625" defaultRowHeight="12.75"/>
  <cols>
    <col min="1" max="1" width="6.8515625" style="98" hidden="1" customWidth="1"/>
    <col min="2" max="2" width="22.140625" style="98" customWidth="1"/>
    <col min="3" max="3" width="13.28125" style="99" customWidth="1"/>
    <col min="4" max="4" width="13.57421875" style="99" customWidth="1"/>
    <col min="5" max="5" width="11.7109375" style="99" customWidth="1"/>
    <col min="6" max="6" width="13.57421875" style="99" customWidth="1"/>
    <col min="7" max="7" width="14.140625" style="99" customWidth="1"/>
    <col min="8" max="8" width="12.00390625" style="99" customWidth="1"/>
    <col min="9" max="9" width="14.00390625" style="99" customWidth="1"/>
    <col min="10" max="10" width="12.8515625" style="99" customWidth="1"/>
    <col min="11" max="11" width="12.28125" style="99" customWidth="1"/>
    <col min="12" max="12" width="11.7109375" style="98" customWidth="1"/>
    <col min="13" max="16384" width="9.140625" style="98" customWidth="1"/>
  </cols>
  <sheetData>
    <row r="1" spans="1:11" ht="41.25" customHeight="1">
      <c r="A1" s="335" t="s">
        <v>336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</row>
    <row r="2" ht="12.75">
      <c r="K2" s="99" t="s">
        <v>255</v>
      </c>
    </row>
    <row r="3" spans="1:11" ht="15.75">
      <c r="A3" s="336" t="s">
        <v>256</v>
      </c>
      <c r="B3" s="337"/>
      <c r="C3" s="339" t="s">
        <v>257</v>
      </c>
      <c r="D3" s="340"/>
      <c r="E3" s="341"/>
      <c r="F3" s="338" t="s">
        <v>280</v>
      </c>
      <c r="G3" s="338"/>
      <c r="H3" s="338"/>
      <c r="I3" s="338" t="s">
        <v>334</v>
      </c>
      <c r="J3" s="338"/>
      <c r="K3" s="338"/>
    </row>
    <row r="4" spans="1:11" ht="15.75">
      <c r="A4" s="336"/>
      <c r="B4" s="337"/>
      <c r="C4" s="86" t="s">
        <v>258</v>
      </c>
      <c r="D4" s="86" t="s">
        <v>259</v>
      </c>
      <c r="E4" s="102" t="s">
        <v>260</v>
      </c>
      <c r="F4" s="86" t="s">
        <v>258</v>
      </c>
      <c r="G4" s="86" t="s">
        <v>259</v>
      </c>
      <c r="H4" s="86" t="s">
        <v>260</v>
      </c>
      <c r="I4" s="86" t="s">
        <v>258</v>
      </c>
      <c r="J4" s="86" t="s">
        <v>259</v>
      </c>
      <c r="K4" s="86" t="s">
        <v>260</v>
      </c>
    </row>
    <row r="5" spans="1:11" ht="31.5">
      <c r="A5" s="103"/>
      <c r="B5" s="101" t="s">
        <v>261</v>
      </c>
      <c r="C5" s="104">
        <f>C7+C8-C6</f>
        <v>2746825.3</v>
      </c>
      <c r="D5" s="104">
        <f aca="true" t="shared" si="0" ref="D5:K5">D7+D8-D6</f>
        <v>2785460.8</v>
      </c>
      <c r="E5" s="104">
        <f>C5-D5</f>
        <v>-38635.5</v>
      </c>
      <c r="F5" s="104">
        <f t="shared" si="0"/>
        <v>2663872.8</v>
      </c>
      <c r="G5" s="104">
        <f t="shared" si="0"/>
        <v>2664327.8</v>
      </c>
      <c r="H5" s="104">
        <f t="shared" si="0"/>
        <v>455</v>
      </c>
      <c r="I5" s="104">
        <f t="shared" si="0"/>
        <v>2870107.8</v>
      </c>
      <c r="J5" s="104">
        <f t="shared" si="0"/>
        <v>2870296.2</v>
      </c>
      <c r="K5" s="104">
        <f t="shared" si="0"/>
        <v>188.4</v>
      </c>
    </row>
    <row r="6" spans="1:11" s="230" customFormat="1" ht="31.5">
      <c r="A6" s="228"/>
      <c r="B6" s="227" t="s">
        <v>338</v>
      </c>
      <c r="C6" s="229">
        <v>111862.3</v>
      </c>
      <c r="D6" s="229">
        <v>111862.3</v>
      </c>
      <c r="E6" s="229"/>
      <c r="F6" s="229">
        <v>31147.8</v>
      </c>
      <c r="G6" s="229">
        <v>31147.8</v>
      </c>
      <c r="H6" s="229"/>
      <c r="I6" s="229">
        <v>13707.2</v>
      </c>
      <c r="J6" s="229">
        <v>13707.2</v>
      </c>
      <c r="K6" s="229"/>
    </row>
    <row r="7" spans="1:11" ht="47.25">
      <c r="A7" s="100"/>
      <c r="B7" s="86" t="s">
        <v>262</v>
      </c>
      <c r="C7" s="105">
        <v>2410988.8</v>
      </c>
      <c r="D7" s="105">
        <v>2419624.3</v>
      </c>
      <c r="E7" s="105">
        <f>D7-C7</f>
        <v>8635.5</v>
      </c>
      <c r="F7" s="105">
        <v>2318893.4</v>
      </c>
      <c r="G7" s="105">
        <v>2319348.4</v>
      </c>
      <c r="H7" s="105">
        <f>G7-F7</f>
        <v>455</v>
      </c>
      <c r="I7" s="105">
        <v>2457559.5</v>
      </c>
      <c r="J7" s="105">
        <v>2457747.9</v>
      </c>
      <c r="K7" s="105">
        <f>J7-I7</f>
        <v>188.4</v>
      </c>
    </row>
    <row r="8" spans="1:11" ht="15.75">
      <c r="A8" s="100"/>
      <c r="B8" s="86" t="s">
        <v>263</v>
      </c>
      <c r="C8" s="105">
        <v>447698.8</v>
      </c>
      <c r="D8" s="105">
        <v>477698.8</v>
      </c>
      <c r="E8" s="105">
        <f>C8-D8</f>
        <v>-30000</v>
      </c>
      <c r="F8" s="105">
        <v>376127.2</v>
      </c>
      <c r="G8" s="105">
        <v>376127.2</v>
      </c>
      <c r="H8" s="105">
        <f>F8-G8</f>
        <v>0</v>
      </c>
      <c r="I8" s="105">
        <v>426255.5</v>
      </c>
      <c r="J8" s="105">
        <v>426255.5</v>
      </c>
      <c r="K8" s="105">
        <f>I8-J8</f>
        <v>0</v>
      </c>
    </row>
    <row r="9" spans="1:11" ht="12.75" hidden="1">
      <c r="A9" s="106"/>
      <c r="B9" s="100" t="s">
        <v>264</v>
      </c>
      <c r="C9" s="107">
        <v>276054.5</v>
      </c>
      <c r="D9" s="107">
        <v>286153.8</v>
      </c>
      <c r="E9" s="108">
        <f>D9-C9</f>
        <v>10099.3</v>
      </c>
      <c r="F9" s="107">
        <v>243287.3</v>
      </c>
      <c r="G9" s="107">
        <v>245924.3</v>
      </c>
      <c r="H9" s="108">
        <f>G9-F9</f>
        <v>2637</v>
      </c>
      <c r="I9" s="107">
        <v>255809.8</v>
      </c>
      <c r="J9" s="107">
        <v>258921.2</v>
      </c>
      <c r="K9" s="108">
        <f>J9-I9</f>
        <v>3111.4</v>
      </c>
    </row>
    <row r="10" spans="2:11" ht="12.75" hidden="1">
      <c r="B10" s="109" t="s">
        <v>265</v>
      </c>
      <c r="C10" s="109">
        <v>7320.4</v>
      </c>
      <c r="D10" s="109">
        <v>7320.4</v>
      </c>
      <c r="E10" s="108">
        <f>D10-C10</f>
        <v>0</v>
      </c>
      <c r="F10" s="109">
        <v>7636</v>
      </c>
      <c r="G10" s="109">
        <v>7636</v>
      </c>
      <c r="H10" s="108">
        <f>G10-F10</f>
        <v>0</v>
      </c>
      <c r="I10" s="109">
        <v>7886.2</v>
      </c>
      <c r="J10" s="109">
        <v>7886.2</v>
      </c>
      <c r="K10" s="108">
        <f>J10-I10</f>
        <v>0</v>
      </c>
    </row>
    <row r="11" spans="2:11" ht="12.75" hidden="1">
      <c r="B11" s="109" t="s">
        <v>266</v>
      </c>
      <c r="C11" s="109"/>
      <c r="D11" s="109"/>
      <c r="E11" s="108"/>
      <c r="F11" s="109"/>
      <c r="G11" s="109"/>
      <c r="H11" s="108"/>
      <c r="I11" s="109"/>
      <c r="J11" s="109"/>
      <c r="K11" s="108">
        <f>J11-I11</f>
        <v>0</v>
      </c>
    </row>
  </sheetData>
  <mergeCells count="6">
    <mergeCell ref="A1:K1"/>
    <mergeCell ref="A3:A4"/>
    <mergeCell ref="B3:B4"/>
    <mergeCell ref="F3:H3"/>
    <mergeCell ref="I3:K3"/>
    <mergeCell ref="C3:E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6"/>
  <sheetViews>
    <sheetView workbookViewId="0" topLeftCell="A1">
      <selection activeCell="C24" sqref="C24"/>
    </sheetView>
  </sheetViews>
  <sheetFormatPr defaultColWidth="9.140625" defaultRowHeight="12.75"/>
  <cols>
    <col min="1" max="1" width="4.140625" style="82" customWidth="1"/>
    <col min="2" max="2" width="20.57421875" style="97" customWidth="1"/>
    <col min="3" max="3" width="36.140625" style="156" customWidth="1"/>
    <col min="4" max="4" width="5.00390625" style="96" hidden="1" customWidth="1"/>
    <col min="5" max="5" width="9.8515625" style="81" customWidth="1"/>
    <col min="6" max="7" width="12.7109375" style="81" hidden="1" customWidth="1"/>
    <col min="8" max="8" width="9.7109375" style="81" hidden="1" customWidth="1"/>
    <col min="9" max="9" width="12.57421875" style="81" hidden="1" customWidth="1"/>
    <col min="10" max="10" width="12.7109375" style="81" hidden="1" customWidth="1"/>
    <col min="11" max="11" width="8.7109375" style="81" hidden="1" customWidth="1"/>
    <col min="12" max="12" width="10.28125" style="81" customWidth="1"/>
    <col min="13" max="13" width="9.421875" style="125" customWidth="1"/>
    <col min="14" max="14" width="8.8515625" style="126" customWidth="1"/>
    <col min="15" max="16384" width="9.140625" style="81" customWidth="1"/>
  </cols>
  <sheetData>
    <row r="1" spans="1:14" s="122" customFormat="1" ht="12.75">
      <c r="A1" s="322"/>
      <c r="B1" s="322"/>
      <c r="C1" s="322"/>
      <c r="D1" s="322"/>
      <c r="M1" s="123"/>
      <c r="N1" s="124"/>
    </row>
    <row r="2" spans="1:14" ht="15.75">
      <c r="A2" s="323" t="s">
        <v>281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</row>
    <row r="3" spans="2:4" ht="12.75">
      <c r="B3" s="324"/>
      <c r="C3" s="324"/>
      <c r="D3" s="324"/>
    </row>
    <row r="4" spans="1:14" ht="56.25" customHeight="1">
      <c r="A4" s="342" t="s">
        <v>125</v>
      </c>
      <c r="B4" s="343"/>
      <c r="C4" s="136" t="s">
        <v>126</v>
      </c>
      <c r="D4" s="127" t="s">
        <v>282</v>
      </c>
      <c r="E4" s="127" t="s">
        <v>283</v>
      </c>
      <c r="F4" s="128" t="s">
        <v>284</v>
      </c>
      <c r="G4" s="129" t="s">
        <v>285</v>
      </c>
      <c r="H4" s="130" t="s">
        <v>286</v>
      </c>
      <c r="I4" s="129" t="s">
        <v>287</v>
      </c>
      <c r="J4" s="129" t="s">
        <v>288</v>
      </c>
      <c r="K4" s="130" t="s">
        <v>289</v>
      </c>
      <c r="L4" s="128" t="s">
        <v>290</v>
      </c>
      <c r="M4" s="131" t="s">
        <v>291</v>
      </c>
      <c r="N4" s="132" t="s">
        <v>292</v>
      </c>
    </row>
    <row r="5" spans="1:14" s="74" customFormat="1" ht="25.5">
      <c r="A5" s="83" t="s">
        <v>127</v>
      </c>
      <c r="B5" s="84" t="s">
        <v>128</v>
      </c>
      <c r="C5" s="84" t="s">
        <v>129</v>
      </c>
      <c r="D5" s="133">
        <f>SUM(D6+D14+D26+D33+D45+D50+D58+D76+D19+D47)</f>
        <v>443948.3</v>
      </c>
      <c r="E5" s="134">
        <f>SUM(E6+E14+E26+E33+E45+E50+E58+E76+E19+E47)</f>
        <v>654338.7</v>
      </c>
      <c r="F5" s="134">
        <v>433728.7</v>
      </c>
      <c r="G5" s="134">
        <f>SUM(G6+G14+G26+G33+G45+G50+G58+G76+G19+G47+G32)</f>
        <v>469739.2</v>
      </c>
      <c r="H5" s="134">
        <f>SUM(G5*100/E5)</f>
        <v>71.8</v>
      </c>
      <c r="I5" s="134">
        <f>SUM(I6+I14+I26+I33+I45+I50+I58+I76+I19+I47)</f>
        <v>581614.1</v>
      </c>
      <c r="J5" s="134">
        <f>SUM(J6+J14+J26+J33+J45+J50+J58+J76+J19+J47)</f>
        <v>469573.4</v>
      </c>
      <c r="K5" s="134">
        <f>SUM(J5*100/I5)</f>
        <v>80.7</v>
      </c>
      <c r="L5" s="134">
        <f>SUM(L6+L14+L26+L33+L45+L50+L58+L76+L19+L47+L32)</f>
        <v>644849.7</v>
      </c>
      <c r="M5" s="135">
        <f>SUM(L5-E5)</f>
        <v>-9489</v>
      </c>
      <c r="N5" s="135">
        <f>SUM(L5/E5*100)</f>
        <v>98.5</v>
      </c>
    </row>
    <row r="6" spans="1:14" s="74" customFormat="1" ht="12.75">
      <c r="A6" s="83" t="s">
        <v>127</v>
      </c>
      <c r="B6" s="84" t="s">
        <v>130</v>
      </c>
      <c r="C6" s="84" t="s">
        <v>131</v>
      </c>
      <c r="D6" s="133">
        <f>SUM(D7)</f>
        <v>176012.2</v>
      </c>
      <c r="E6" s="134">
        <f>SUM(E7)</f>
        <v>251629.8</v>
      </c>
      <c r="F6" s="134">
        <v>184951.6</v>
      </c>
      <c r="G6" s="134">
        <f>SUM(G7)</f>
        <v>197808.3</v>
      </c>
      <c r="H6" s="134">
        <f aca="true" t="shared" si="0" ref="H6:H69">SUM(G6*100/E6)</f>
        <v>78.6</v>
      </c>
      <c r="I6" s="134">
        <f>SUM(I7)</f>
        <v>233976.6</v>
      </c>
      <c r="J6" s="134">
        <f>SUM(J7)</f>
        <v>186030.8</v>
      </c>
      <c r="K6" s="134">
        <f aca="true" t="shared" si="1" ref="K6:K69">SUM(J6*100/I6)</f>
        <v>79.5</v>
      </c>
      <c r="L6" s="134">
        <f>SUM(L7)</f>
        <v>251629.8</v>
      </c>
      <c r="M6" s="135">
        <v>0</v>
      </c>
      <c r="N6" s="135">
        <f aca="true" t="shared" si="2" ref="N6:N69">SUM(L6/E6*100)</f>
        <v>100</v>
      </c>
    </row>
    <row r="7" spans="1:14" ht="12.75">
      <c r="A7" s="85" t="s">
        <v>127</v>
      </c>
      <c r="B7" s="136" t="s">
        <v>132</v>
      </c>
      <c r="C7" s="140" t="s">
        <v>133</v>
      </c>
      <c r="D7" s="137">
        <v>176012.2</v>
      </c>
      <c r="E7" s="138">
        <v>251629.8</v>
      </c>
      <c r="F7" s="138">
        <v>184951.6</v>
      </c>
      <c r="G7" s="138">
        <v>197808.3</v>
      </c>
      <c r="H7" s="138">
        <f t="shared" si="0"/>
        <v>78.6</v>
      </c>
      <c r="I7" s="139">
        <v>233976.6</v>
      </c>
      <c r="J7" s="139">
        <v>186030.8</v>
      </c>
      <c r="K7" s="138">
        <f t="shared" si="1"/>
        <v>79.5</v>
      </c>
      <c r="L7" s="138">
        <v>251629.8</v>
      </c>
      <c r="M7" s="139">
        <f aca="true" t="shared" si="3" ref="M7:M70">SUM(L7-E7)</f>
        <v>0</v>
      </c>
      <c r="N7" s="139">
        <f t="shared" si="2"/>
        <v>100</v>
      </c>
    </row>
    <row r="8" spans="1:14" s="88" customFormat="1" ht="66" customHeight="1" hidden="1">
      <c r="A8" s="87" t="s">
        <v>134</v>
      </c>
      <c r="B8" s="140" t="s">
        <v>135</v>
      </c>
      <c r="C8" s="140" t="s">
        <v>136</v>
      </c>
      <c r="D8" s="137">
        <v>1596.7</v>
      </c>
      <c r="E8" s="139"/>
      <c r="F8" s="139"/>
      <c r="G8" s="139"/>
      <c r="H8" s="134" t="e">
        <f t="shared" si="0"/>
        <v>#DIV/0!</v>
      </c>
      <c r="I8" s="139"/>
      <c r="J8" s="139"/>
      <c r="K8" s="134" t="e">
        <f t="shared" si="1"/>
        <v>#DIV/0!</v>
      </c>
      <c r="L8" s="139"/>
      <c r="M8" s="139">
        <f t="shared" si="3"/>
        <v>0</v>
      </c>
      <c r="N8" s="139" t="e">
        <f t="shared" si="2"/>
        <v>#DIV/0!</v>
      </c>
    </row>
    <row r="9" spans="1:14" s="88" customFormat="1" ht="63.75" hidden="1">
      <c r="A9" s="87" t="s">
        <v>134</v>
      </c>
      <c r="B9" s="140" t="s">
        <v>137</v>
      </c>
      <c r="C9" s="153" t="s">
        <v>138</v>
      </c>
      <c r="D9" s="137">
        <f>SUM(D10:D11)</f>
        <v>246895.3</v>
      </c>
      <c r="E9" s="139"/>
      <c r="F9" s="139"/>
      <c r="G9" s="139"/>
      <c r="H9" s="134" t="e">
        <f t="shared" si="0"/>
        <v>#DIV/0!</v>
      </c>
      <c r="I9" s="139"/>
      <c r="J9" s="139"/>
      <c r="K9" s="134" t="e">
        <f t="shared" si="1"/>
        <v>#DIV/0!</v>
      </c>
      <c r="L9" s="139"/>
      <c r="M9" s="139">
        <f t="shared" si="3"/>
        <v>0</v>
      </c>
      <c r="N9" s="139" t="e">
        <f t="shared" si="2"/>
        <v>#DIV/0!</v>
      </c>
    </row>
    <row r="10" spans="1:14" s="88" customFormat="1" ht="127.5" hidden="1">
      <c r="A10" s="87" t="s">
        <v>134</v>
      </c>
      <c r="B10" s="140" t="s">
        <v>139</v>
      </c>
      <c r="C10" s="153" t="s">
        <v>140</v>
      </c>
      <c r="D10" s="137">
        <v>244905.2</v>
      </c>
      <c r="E10" s="139"/>
      <c r="F10" s="139"/>
      <c r="G10" s="139"/>
      <c r="H10" s="134" t="e">
        <f t="shared" si="0"/>
        <v>#DIV/0!</v>
      </c>
      <c r="I10" s="139"/>
      <c r="J10" s="139"/>
      <c r="K10" s="134" t="e">
        <f t="shared" si="1"/>
        <v>#DIV/0!</v>
      </c>
      <c r="L10" s="139"/>
      <c r="M10" s="139">
        <f t="shared" si="3"/>
        <v>0</v>
      </c>
      <c r="N10" s="139" t="e">
        <f t="shared" si="2"/>
        <v>#DIV/0!</v>
      </c>
    </row>
    <row r="11" spans="1:14" s="88" customFormat="1" ht="114.75" hidden="1">
      <c r="A11" s="87" t="s">
        <v>134</v>
      </c>
      <c r="B11" s="140" t="s">
        <v>141</v>
      </c>
      <c r="C11" s="153" t="s">
        <v>142</v>
      </c>
      <c r="D11" s="137">
        <v>1990.1</v>
      </c>
      <c r="E11" s="139"/>
      <c r="F11" s="139"/>
      <c r="G11" s="139"/>
      <c r="H11" s="134" t="e">
        <f t="shared" si="0"/>
        <v>#DIV/0!</v>
      </c>
      <c r="I11" s="139"/>
      <c r="J11" s="139"/>
      <c r="K11" s="134" t="e">
        <f t="shared" si="1"/>
        <v>#DIV/0!</v>
      </c>
      <c r="L11" s="139"/>
      <c r="M11" s="139">
        <f t="shared" si="3"/>
        <v>0</v>
      </c>
      <c r="N11" s="139" t="e">
        <f t="shared" si="2"/>
        <v>#DIV/0!</v>
      </c>
    </row>
    <row r="12" spans="1:14" s="88" customFormat="1" ht="51" hidden="1">
      <c r="A12" s="87" t="s">
        <v>134</v>
      </c>
      <c r="B12" s="140" t="s">
        <v>143</v>
      </c>
      <c r="C12" s="140" t="s">
        <v>144</v>
      </c>
      <c r="D12" s="137">
        <v>500.2</v>
      </c>
      <c r="E12" s="139"/>
      <c r="F12" s="139"/>
      <c r="G12" s="139"/>
      <c r="H12" s="134" t="e">
        <f t="shared" si="0"/>
        <v>#DIV/0!</v>
      </c>
      <c r="I12" s="139"/>
      <c r="J12" s="139"/>
      <c r="K12" s="134" t="e">
        <f t="shared" si="1"/>
        <v>#DIV/0!</v>
      </c>
      <c r="L12" s="139"/>
      <c r="M12" s="139">
        <f t="shared" si="3"/>
        <v>0</v>
      </c>
      <c r="N12" s="139" t="e">
        <f t="shared" si="2"/>
        <v>#DIV/0!</v>
      </c>
    </row>
    <row r="13" spans="1:14" s="88" customFormat="1" ht="114.75" hidden="1">
      <c r="A13" s="87" t="s">
        <v>134</v>
      </c>
      <c r="B13" s="140" t="s">
        <v>145</v>
      </c>
      <c r="C13" s="153" t="s">
        <v>146</v>
      </c>
      <c r="D13" s="137">
        <v>137.6</v>
      </c>
      <c r="E13" s="139"/>
      <c r="F13" s="139"/>
      <c r="G13" s="139"/>
      <c r="H13" s="134" t="e">
        <f t="shared" si="0"/>
        <v>#DIV/0!</v>
      </c>
      <c r="I13" s="139"/>
      <c r="J13" s="139"/>
      <c r="K13" s="134" t="e">
        <f t="shared" si="1"/>
        <v>#DIV/0!</v>
      </c>
      <c r="L13" s="139"/>
      <c r="M13" s="139">
        <f t="shared" si="3"/>
        <v>0</v>
      </c>
      <c r="N13" s="139" t="e">
        <f t="shared" si="2"/>
        <v>#DIV/0!</v>
      </c>
    </row>
    <row r="14" spans="1:14" s="90" customFormat="1" ht="15.75" customHeight="1">
      <c r="A14" s="89" t="s">
        <v>127</v>
      </c>
      <c r="B14" s="141" t="s">
        <v>147</v>
      </c>
      <c r="C14" s="154" t="s">
        <v>148</v>
      </c>
      <c r="D14" s="133">
        <f>SUM(D15:D18)</f>
        <v>32028.2</v>
      </c>
      <c r="E14" s="134">
        <f>SUM(E15)</f>
        <v>21760.3</v>
      </c>
      <c r="F14" s="134">
        <f>SUM(F15+F18)</f>
        <v>17122.2</v>
      </c>
      <c r="G14" s="134">
        <f>SUM(G15:G18)</f>
        <v>35316.2</v>
      </c>
      <c r="H14" s="134">
        <f t="shared" si="0"/>
        <v>162.3</v>
      </c>
      <c r="I14" s="134">
        <f>SUM(I15)</f>
        <v>21033.5</v>
      </c>
      <c r="J14" s="134">
        <f>SUM(J15)</f>
        <v>18539.5</v>
      </c>
      <c r="K14" s="134">
        <f t="shared" si="1"/>
        <v>88.1</v>
      </c>
      <c r="L14" s="134">
        <f>SUM(L15+L18)</f>
        <v>22792.8</v>
      </c>
      <c r="M14" s="135">
        <f t="shared" si="3"/>
        <v>1032.5</v>
      </c>
      <c r="N14" s="135">
        <f t="shared" si="2"/>
        <v>104.7</v>
      </c>
    </row>
    <row r="15" spans="1:14" s="88" customFormat="1" ht="27.75" customHeight="1">
      <c r="A15" s="87" t="s">
        <v>134</v>
      </c>
      <c r="B15" s="140" t="s">
        <v>149</v>
      </c>
      <c r="C15" s="140" t="s">
        <v>150</v>
      </c>
      <c r="D15" s="137">
        <v>16000.3</v>
      </c>
      <c r="E15" s="139">
        <v>21760.3</v>
      </c>
      <c r="F15" s="139">
        <f>SUM(F16:F17)</f>
        <v>16829.8</v>
      </c>
      <c r="G15" s="139">
        <f>SUM(G16:G17)</f>
        <v>17511.9</v>
      </c>
      <c r="H15" s="138">
        <f t="shared" si="0"/>
        <v>80.5</v>
      </c>
      <c r="I15" s="139">
        <v>21033.5</v>
      </c>
      <c r="J15" s="139">
        <v>18539.5</v>
      </c>
      <c r="K15" s="138">
        <f t="shared" si="1"/>
        <v>88.1</v>
      </c>
      <c r="L15" s="139">
        <f>SUM(L16:L17)</f>
        <v>22500.4</v>
      </c>
      <c r="M15" s="139">
        <f t="shared" si="3"/>
        <v>740.1</v>
      </c>
      <c r="N15" s="139">
        <f t="shared" si="2"/>
        <v>103.4</v>
      </c>
    </row>
    <row r="16" spans="1:14" s="88" customFormat="1" ht="39" customHeight="1">
      <c r="A16" s="87" t="s">
        <v>134</v>
      </c>
      <c r="B16" s="140" t="s">
        <v>293</v>
      </c>
      <c r="C16" s="142" t="s">
        <v>294</v>
      </c>
      <c r="D16" s="137">
        <v>16000.3</v>
      </c>
      <c r="E16" s="139">
        <v>21760.3</v>
      </c>
      <c r="F16" s="139">
        <v>11333.6</v>
      </c>
      <c r="G16" s="139">
        <v>12013.3</v>
      </c>
      <c r="H16" s="138">
        <f t="shared" si="0"/>
        <v>55.2</v>
      </c>
      <c r="I16" s="139">
        <v>21033.5</v>
      </c>
      <c r="J16" s="139">
        <v>18539.5</v>
      </c>
      <c r="K16" s="138">
        <f t="shared" si="1"/>
        <v>88.1</v>
      </c>
      <c r="L16" s="139">
        <v>17000.4</v>
      </c>
      <c r="M16" s="139">
        <f t="shared" si="3"/>
        <v>-4759.9</v>
      </c>
      <c r="N16" s="139">
        <f t="shared" si="2"/>
        <v>78.1</v>
      </c>
    </row>
    <row r="17" spans="1:14" s="88" customFormat="1" ht="55.5" customHeight="1">
      <c r="A17" s="87" t="s">
        <v>134</v>
      </c>
      <c r="B17" s="140" t="s">
        <v>295</v>
      </c>
      <c r="C17" s="142" t="s">
        <v>296</v>
      </c>
      <c r="D17" s="137"/>
      <c r="E17" s="139">
        <v>0</v>
      </c>
      <c r="F17" s="139">
        <v>5496.2</v>
      </c>
      <c r="G17" s="139">
        <v>5498.6</v>
      </c>
      <c r="H17" s="138"/>
      <c r="I17" s="139"/>
      <c r="J17" s="139"/>
      <c r="K17" s="138"/>
      <c r="L17" s="139">
        <v>5500</v>
      </c>
      <c r="M17" s="139">
        <f t="shared" si="3"/>
        <v>5500</v>
      </c>
      <c r="N17" s="139"/>
    </row>
    <row r="18" spans="1:14" s="88" customFormat="1" ht="17.25" customHeight="1">
      <c r="A18" s="87" t="s">
        <v>134</v>
      </c>
      <c r="B18" s="140" t="s">
        <v>151</v>
      </c>
      <c r="C18" s="140" t="s">
        <v>152</v>
      </c>
      <c r="D18" s="137">
        <v>27.6</v>
      </c>
      <c r="E18" s="139">
        <v>29</v>
      </c>
      <c r="F18" s="139">
        <v>292.4</v>
      </c>
      <c r="G18" s="139">
        <v>292.4</v>
      </c>
      <c r="H18" s="138">
        <f t="shared" si="0"/>
        <v>1008.3</v>
      </c>
      <c r="I18" s="139">
        <v>75.4</v>
      </c>
      <c r="J18" s="139">
        <v>38.3</v>
      </c>
      <c r="K18" s="138">
        <f t="shared" si="1"/>
        <v>50.8</v>
      </c>
      <c r="L18" s="139">
        <v>292.4</v>
      </c>
      <c r="M18" s="139">
        <f t="shared" si="3"/>
        <v>263.4</v>
      </c>
      <c r="N18" s="139">
        <f t="shared" si="2"/>
        <v>1008.3</v>
      </c>
    </row>
    <row r="19" spans="1:14" s="90" customFormat="1" ht="15.75" customHeight="1">
      <c r="A19" s="89" t="s">
        <v>127</v>
      </c>
      <c r="B19" s="141" t="s">
        <v>153</v>
      </c>
      <c r="C19" s="141" t="s">
        <v>154</v>
      </c>
      <c r="D19" s="133">
        <f>D20+D23</f>
        <v>135683.4</v>
      </c>
      <c r="E19" s="135">
        <f>SUM(E20+E23)</f>
        <v>190518.4</v>
      </c>
      <c r="F19" s="135">
        <f>SUM(F20+F23)</f>
        <v>125565.7</v>
      </c>
      <c r="G19" s="143">
        <f aca="true" t="shared" si="4" ref="G19:L19">SUM(G20+G23)</f>
        <v>128462.5</v>
      </c>
      <c r="H19" s="143">
        <f t="shared" si="4"/>
        <v>125.9</v>
      </c>
      <c r="I19" s="143">
        <f t="shared" si="4"/>
        <v>173416.6</v>
      </c>
      <c r="J19" s="143">
        <f t="shared" si="4"/>
        <v>131879.1</v>
      </c>
      <c r="K19" s="143">
        <f t="shared" si="4"/>
        <v>149.6</v>
      </c>
      <c r="L19" s="143">
        <f t="shared" si="4"/>
        <v>187416.4</v>
      </c>
      <c r="M19" s="135">
        <f t="shared" si="3"/>
        <v>-3102</v>
      </c>
      <c r="N19" s="135">
        <f t="shared" si="2"/>
        <v>98.4</v>
      </c>
    </row>
    <row r="20" spans="1:14" s="90" customFormat="1" ht="18" customHeight="1">
      <c r="A20" s="87" t="s">
        <v>134</v>
      </c>
      <c r="B20" s="140" t="s">
        <v>155</v>
      </c>
      <c r="C20" s="140" t="s">
        <v>156</v>
      </c>
      <c r="D20" s="137">
        <f>D21</f>
        <v>96304.5</v>
      </c>
      <c r="E20" s="139">
        <f>SUM(E21:E22)</f>
        <v>128406</v>
      </c>
      <c r="F20" s="139">
        <f>SUM(F21)</f>
        <v>96950.6</v>
      </c>
      <c r="G20" s="139">
        <f>SUM(G21:G22)</f>
        <v>97413</v>
      </c>
      <c r="H20" s="138">
        <f t="shared" si="0"/>
        <v>75.9</v>
      </c>
      <c r="I20" s="139">
        <f>SUM(I21:I22)</f>
        <v>115606</v>
      </c>
      <c r="J20" s="139">
        <f>SUM(J21:J22)</f>
        <v>90842.8</v>
      </c>
      <c r="K20" s="138">
        <f t="shared" si="1"/>
        <v>78.6</v>
      </c>
      <c r="L20" s="139">
        <v>128406</v>
      </c>
      <c r="M20" s="139">
        <f t="shared" si="3"/>
        <v>0</v>
      </c>
      <c r="N20" s="139">
        <f t="shared" si="2"/>
        <v>100</v>
      </c>
    </row>
    <row r="21" spans="1:14" s="90" customFormat="1" ht="28.5" customHeight="1" hidden="1">
      <c r="A21" s="87" t="s">
        <v>134</v>
      </c>
      <c r="B21" s="140" t="s">
        <v>157</v>
      </c>
      <c r="C21" s="140" t="s">
        <v>158</v>
      </c>
      <c r="D21" s="137">
        <v>96304.5</v>
      </c>
      <c r="E21" s="139">
        <v>128406</v>
      </c>
      <c r="F21" s="139">
        <v>96950.6</v>
      </c>
      <c r="G21" s="139">
        <v>97423.4</v>
      </c>
      <c r="H21" s="138">
        <f t="shared" si="0"/>
        <v>75.9</v>
      </c>
      <c r="I21" s="139">
        <v>115606</v>
      </c>
      <c r="J21" s="139">
        <v>90832.3</v>
      </c>
      <c r="K21" s="138">
        <f t="shared" si="1"/>
        <v>78.6</v>
      </c>
      <c r="L21" s="139">
        <v>128406</v>
      </c>
      <c r="M21" s="139">
        <f t="shared" si="3"/>
        <v>0</v>
      </c>
      <c r="N21" s="139">
        <f t="shared" si="2"/>
        <v>100</v>
      </c>
    </row>
    <row r="22" spans="1:14" s="90" customFormat="1" ht="41.25" customHeight="1" hidden="1">
      <c r="A22" s="87" t="s">
        <v>134</v>
      </c>
      <c r="B22" s="140" t="s">
        <v>297</v>
      </c>
      <c r="C22" s="140" t="s">
        <v>298</v>
      </c>
      <c r="D22" s="144">
        <v>0</v>
      </c>
      <c r="E22" s="139">
        <v>0</v>
      </c>
      <c r="F22" s="139"/>
      <c r="G22" s="139">
        <v>-10.4</v>
      </c>
      <c r="H22" s="138"/>
      <c r="I22" s="139">
        <v>0</v>
      </c>
      <c r="J22" s="139">
        <v>10.5</v>
      </c>
      <c r="K22" s="138"/>
      <c r="L22" s="139"/>
      <c r="M22" s="139"/>
      <c r="N22" s="139"/>
    </row>
    <row r="23" spans="1:14" s="90" customFormat="1" ht="16.5" customHeight="1" hidden="1">
      <c r="A23" s="87" t="s">
        <v>134</v>
      </c>
      <c r="B23" s="140" t="s">
        <v>159</v>
      </c>
      <c r="C23" s="140" t="s">
        <v>160</v>
      </c>
      <c r="D23" s="137">
        <f>SUM(D24:D25)</f>
        <v>39378.9</v>
      </c>
      <c r="E23" s="138">
        <f>SUM(E24:E25)</f>
        <v>62112.4</v>
      </c>
      <c r="F23" s="138">
        <v>28615.1</v>
      </c>
      <c r="G23" s="138">
        <f>SUM(G24:G25)</f>
        <v>31049.5</v>
      </c>
      <c r="H23" s="138">
        <f t="shared" si="0"/>
        <v>50</v>
      </c>
      <c r="I23" s="138">
        <f>SUM(I24:I25)</f>
        <v>57810.6</v>
      </c>
      <c r="J23" s="138">
        <f>SUM(J24:J25)</f>
        <v>41036.3</v>
      </c>
      <c r="K23" s="138">
        <f t="shared" si="1"/>
        <v>71</v>
      </c>
      <c r="L23" s="138">
        <f>SUM(L25+L24)</f>
        <v>59010.4</v>
      </c>
      <c r="M23" s="139">
        <f t="shared" si="3"/>
        <v>-3102</v>
      </c>
      <c r="N23" s="139">
        <f t="shared" si="2"/>
        <v>95</v>
      </c>
    </row>
    <row r="24" spans="1:14" s="90" customFormat="1" ht="12.75">
      <c r="A24" s="87" t="s">
        <v>134</v>
      </c>
      <c r="B24" s="140" t="s">
        <v>161</v>
      </c>
      <c r="C24" s="140" t="s">
        <v>162</v>
      </c>
      <c r="D24" s="137">
        <v>10556.7</v>
      </c>
      <c r="E24" s="139">
        <v>14075.6</v>
      </c>
      <c r="F24" s="139">
        <v>8230.2</v>
      </c>
      <c r="G24" s="139">
        <v>8601</v>
      </c>
      <c r="H24" s="138">
        <f t="shared" si="0"/>
        <v>61.1</v>
      </c>
      <c r="I24" s="139">
        <v>17414.1</v>
      </c>
      <c r="J24" s="139">
        <v>9791.1</v>
      </c>
      <c r="K24" s="138">
        <f t="shared" si="1"/>
        <v>56.2</v>
      </c>
      <c r="L24" s="139">
        <v>10973.6</v>
      </c>
      <c r="M24" s="139">
        <f t="shared" si="3"/>
        <v>-3102</v>
      </c>
      <c r="N24" s="139">
        <f t="shared" si="2"/>
        <v>78</v>
      </c>
    </row>
    <row r="25" spans="1:14" s="90" customFormat="1" ht="12.75">
      <c r="A25" s="87" t="s">
        <v>134</v>
      </c>
      <c r="B25" s="140" t="s">
        <v>163</v>
      </c>
      <c r="C25" s="140" t="s">
        <v>164</v>
      </c>
      <c r="D25" s="137">
        <v>28822.2</v>
      </c>
      <c r="E25" s="139">
        <v>48036.8</v>
      </c>
      <c r="F25" s="139">
        <v>20384.9</v>
      </c>
      <c r="G25" s="139">
        <v>22448.5</v>
      </c>
      <c r="H25" s="138">
        <f t="shared" si="0"/>
        <v>46.7</v>
      </c>
      <c r="I25" s="139">
        <v>40396.5</v>
      </c>
      <c r="J25" s="139">
        <v>31245.2</v>
      </c>
      <c r="K25" s="138">
        <f t="shared" si="1"/>
        <v>77.3</v>
      </c>
      <c r="L25" s="139">
        <v>48036.8</v>
      </c>
      <c r="M25" s="139">
        <f t="shared" si="3"/>
        <v>0</v>
      </c>
      <c r="N25" s="139">
        <f t="shared" si="2"/>
        <v>100</v>
      </c>
    </row>
    <row r="26" spans="1:14" s="90" customFormat="1" ht="18" customHeight="1">
      <c r="A26" s="89" t="s">
        <v>127</v>
      </c>
      <c r="B26" s="141" t="s">
        <v>165</v>
      </c>
      <c r="C26" s="141" t="s">
        <v>166</v>
      </c>
      <c r="D26" s="133">
        <f>SUM(D27+D29)</f>
        <v>9577.4</v>
      </c>
      <c r="E26" s="135">
        <f>SUM(E27+E29)</f>
        <v>12531.6</v>
      </c>
      <c r="F26" s="135">
        <v>9176.3</v>
      </c>
      <c r="G26" s="135">
        <f>SUM(G27+G29)</f>
        <v>9498.9</v>
      </c>
      <c r="H26" s="134">
        <f t="shared" si="0"/>
        <v>75.8</v>
      </c>
      <c r="I26" s="135">
        <f>SUM(I27+I29)</f>
        <v>11605.9</v>
      </c>
      <c r="J26" s="135">
        <f>SUM(J27+J29)</f>
        <v>9340.3</v>
      </c>
      <c r="K26" s="134">
        <f t="shared" si="1"/>
        <v>80.5</v>
      </c>
      <c r="L26" s="135">
        <v>12531.6</v>
      </c>
      <c r="M26" s="135">
        <f t="shared" si="3"/>
        <v>0</v>
      </c>
      <c r="N26" s="135">
        <f t="shared" si="2"/>
        <v>100</v>
      </c>
    </row>
    <row r="27" spans="1:14" s="88" customFormat="1" ht="38.25" hidden="1">
      <c r="A27" s="87" t="s">
        <v>134</v>
      </c>
      <c r="B27" s="140" t="s">
        <v>167</v>
      </c>
      <c r="C27" s="140" t="s">
        <v>168</v>
      </c>
      <c r="D27" s="137">
        <f>SUM(D28)</f>
        <v>5089.6</v>
      </c>
      <c r="E27" s="139">
        <f>SUM(E28)</f>
        <v>6541.9</v>
      </c>
      <c r="F27" s="139">
        <v>5112.8</v>
      </c>
      <c r="G27" s="139">
        <f>SUM(G28)</f>
        <v>5331.5</v>
      </c>
      <c r="H27" s="138">
        <f t="shared" si="0"/>
        <v>81.5</v>
      </c>
      <c r="I27" s="139">
        <f>SUM(I28)</f>
        <v>8420.8</v>
      </c>
      <c r="J27" s="139">
        <f>SUM(J28)</f>
        <v>5094.2</v>
      </c>
      <c r="K27" s="138">
        <f t="shared" si="1"/>
        <v>60.5</v>
      </c>
      <c r="L27" s="139"/>
      <c r="M27" s="139">
        <f t="shared" si="3"/>
        <v>-6541.9</v>
      </c>
      <c r="N27" s="139">
        <f t="shared" si="2"/>
        <v>0</v>
      </c>
    </row>
    <row r="28" spans="1:14" s="88" customFormat="1" ht="63.75" hidden="1">
      <c r="A28" s="87" t="s">
        <v>134</v>
      </c>
      <c r="B28" s="140" t="s">
        <v>169</v>
      </c>
      <c r="C28" s="140" t="s">
        <v>170</v>
      </c>
      <c r="D28" s="137">
        <v>5089.6</v>
      </c>
      <c r="E28" s="139">
        <v>6541.9</v>
      </c>
      <c r="F28" s="139">
        <v>5112.8</v>
      </c>
      <c r="G28" s="139">
        <v>5331.5</v>
      </c>
      <c r="H28" s="138">
        <f t="shared" si="0"/>
        <v>81.5</v>
      </c>
      <c r="I28" s="139">
        <v>8420.8</v>
      </c>
      <c r="J28" s="139">
        <v>5094.2</v>
      </c>
      <c r="K28" s="138">
        <f t="shared" si="1"/>
        <v>60.5</v>
      </c>
      <c r="L28" s="139"/>
      <c r="M28" s="139">
        <f t="shared" si="3"/>
        <v>-6541.9</v>
      </c>
      <c r="N28" s="139">
        <f t="shared" si="2"/>
        <v>0</v>
      </c>
    </row>
    <row r="29" spans="1:14" s="88" customFormat="1" ht="51" hidden="1">
      <c r="A29" s="87" t="s">
        <v>127</v>
      </c>
      <c r="B29" s="140" t="s">
        <v>171</v>
      </c>
      <c r="C29" s="140" t="s">
        <v>172</v>
      </c>
      <c r="D29" s="137">
        <f>D30+D31</f>
        <v>4487.8</v>
      </c>
      <c r="E29" s="139">
        <f>SUM(E30:E31)</f>
        <v>5989.7</v>
      </c>
      <c r="F29" s="139">
        <v>4063.6</v>
      </c>
      <c r="G29" s="139">
        <f>SUM(G30:G31)</f>
        <v>4167.4</v>
      </c>
      <c r="H29" s="138">
        <f t="shared" si="0"/>
        <v>69.6</v>
      </c>
      <c r="I29" s="139">
        <f>SUM(I30:I31)</f>
        <v>3185.1</v>
      </c>
      <c r="J29" s="139">
        <f>SUM(J30:J31)</f>
        <v>4246.1</v>
      </c>
      <c r="K29" s="138">
        <f t="shared" si="1"/>
        <v>133.3</v>
      </c>
      <c r="L29" s="139"/>
      <c r="M29" s="139">
        <f t="shared" si="3"/>
        <v>-5989.7</v>
      </c>
      <c r="N29" s="139">
        <f t="shared" si="2"/>
        <v>0</v>
      </c>
    </row>
    <row r="30" spans="1:14" s="88" customFormat="1" ht="63.75" customHeight="1" hidden="1">
      <c r="A30" s="87" t="s">
        <v>127</v>
      </c>
      <c r="B30" s="140" t="s">
        <v>173</v>
      </c>
      <c r="C30" s="153" t="s">
        <v>174</v>
      </c>
      <c r="D30" s="137">
        <v>4481.8</v>
      </c>
      <c r="E30" s="139">
        <v>5983.7</v>
      </c>
      <c r="F30" s="139">
        <v>4041.1</v>
      </c>
      <c r="G30" s="139">
        <v>4144.9</v>
      </c>
      <c r="H30" s="138">
        <f t="shared" si="0"/>
        <v>69.3</v>
      </c>
      <c r="I30" s="139">
        <v>3174.6</v>
      </c>
      <c r="J30" s="139">
        <v>4241.6</v>
      </c>
      <c r="K30" s="138">
        <f t="shared" si="1"/>
        <v>133.6</v>
      </c>
      <c r="L30" s="139"/>
      <c r="M30" s="139">
        <f t="shared" si="3"/>
        <v>-5983.7</v>
      </c>
      <c r="N30" s="139">
        <f t="shared" si="2"/>
        <v>0</v>
      </c>
    </row>
    <row r="31" spans="1:14" s="88" customFormat="1" ht="38.25" hidden="1">
      <c r="A31" s="87" t="s">
        <v>127</v>
      </c>
      <c r="B31" s="140" t="s">
        <v>175</v>
      </c>
      <c r="C31" s="153" t="s">
        <v>176</v>
      </c>
      <c r="D31" s="137">
        <v>6</v>
      </c>
      <c r="E31" s="139">
        <v>6</v>
      </c>
      <c r="F31" s="139">
        <v>22.5</v>
      </c>
      <c r="G31" s="139">
        <v>22.5</v>
      </c>
      <c r="H31" s="138">
        <f t="shared" si="0"/>
        <v>375</v>
      </c>
      <c r="I31" s="139">
        <v>10.5</v>
      </c>
      <c r="J31" s="139">
        <v>4.5</v>
      </c>
      <c r="K31" s="138">
        <f t="shared" si="1"/>
        <v>42.9</v>
      </c>
      <c r="L31" s="139"/>
      <c r="M31" s="139">
        <f t="shared" si="3"/>
        <v>-6</v>
      </c>
      <c r="N31" s="139">
        <f t="shared" si="2"/>
        <v>0</v>
      </c>
    </row>
    <row r="32" spans="1:14" s="90" customFormat="1" ht="27" customHeight="1">
      <c r="A32" s="89" t="s">
        <v>127</v>
      </c>
      <c r="B32" s="141" t="s">
        <v>299</v>
      </c>
      <c r="C32" s="154" t="s">
        <v>300</v>
      </c>
      <c r="D32" s="133">
        <v>0</v>
      </c>
      <c r="E32" s="135">
        <v>0</v>
      </c>
      <c r="F32" s="135">
        <v>11</v>
      </c>
      <c r="G32" s="135">
        <v>11</v>
      </c>
      <c r="H32" s="134"/>
      <c r="I32" s="135">
        <v>0</v>
      </c>
      <c r="J32" s="135">
        <v>0.6</v>
      </c>
      <c r="K32" s="134"/>
      <c r="L32" s="135">
        <v>11</v>
      </c>
      <c r="M32" s="135">
        <f t="shared" si="3"/>
        <v>11</v>
      </c>
      <c r="N32" s="135"/>
    </row>
    <row r="33" spans="1:14" s="90" customFormat="1" ht="54.75" customHeight="1">
      <c r="A33" s="89" t="s">
        <v>127</v>
      </c>
      <c r="B33" s="141" t="s">
        <v>177</v>
      </c>
      <c r="C33" s="141" t="s">
        <v>178</v>
      </c>
      <c r="D33" s="133">
        <f>SUM(D36+D41)</f>
        <v>26834.4</v>
      </c>
      <c r="E33" s="134">
        <f>SUM(E36+E41)</f>
        <v>35097.7</v>
      </c>
      <c r="F33" s="134">
        <v>28573.1</v>
      </c>
      <c r="G33" s="134">
        <f>SUM(G36+G41+G35)</f>
        <v>29830.6</v>
      </c>
      <c r="H33" s="134">
        <f t="shared" si="0"/>
        <v>85</v>
      </c>
      <c r="I33" s="134">
        <f>SUM(I36+I41+I35)</f>
        <v>34479.1</v>
      </c>
      <c r="J33" s="134">
        <f>SUM(J34+J36+J41+J44)</f>
        <v>29659</v>
      </c>
      <c r="K33" s="134">
        <f t="shared" si="1"/>
        <v>86</v>
      </c>
      <c r="L33" s="134">
        <f>SUM(L35+L36+L41)</f>
        <v>36332.5</v>
      </c>
      <c r="M33" s="135">
        <f t="shared" si="3"/>
        <v>1234.8</v>
      </c>
      <c r="N33" s="135">
        <f t="shared" si="2"/>
        <v>103.5</v>
      </c>
    </row>
    <row r="34" spans="1:14" s="90" customFormat="1" ht="44.25" customHeight="1" hidden="1">
      <c r="A34" s="87" t="s">
        <v>127</v>
      </c>
      <c r="B34" s="140" t="s">
        <v>301</v>
      </c>
      <c r="C34" s="145" t="s">
        <v>302</v>
      </c>
      <c r="D34" s="133"/>
      <c r="E34" s="134"/>
      <c r="F34" s="134"/>
      <c r="G34" s="134"/>
      <c r="H34" s="134"/>
      <c r="I34" s="139">
        <v>0</v>
      </c>
      <c r="J34" s="139">
        <v>147.7</v>
      </c>
      <c r="K34" s="138"/>
      <c r="L34" s="134"/>
      <c r="M34" s="139">
        <f t="shared" si="3"/>
        <v>0</v>
      </c>
      <c r="N34" s="139" t="e">
        <f t="shared" si="2"/>
        <v>#DIV/0!</v>
      </c>
    </row>
    <row r="35" spans="1:14" s="90" customFormat="1" ht="30" customHeight="1">
      <c r="A35" s="87" t="s">
        <v>127</v>
      </c>
      <c r="B35" s="140" t="s">
        <v>303</v>
      </c>
      <c r="C35" s="140" t="s">
        <v>304</v>
      </c>
      <c r="D35" s="133">
        <v>0</v>
      </c>
      <c r="E35" s="139">
        <v>0</v>
      </c>
      <c r="F35" s="139">
        <v>30</v>
      </c>
      <c r="G35" s="139">
        <v>30</v>
      </c>
      <c r="H35" s="134"/>
      <c r="I35" s="139">
        <v>0</v>
      </c>
      <c r="J35" s="139">
        <v>0</v>
      </c>
      <c r="K35" s="138"/>
      <c r="L35" s="139">
        <v>30</v>
      </c>
      <c r="M35" s="139">
        <f t="shared" si="3"/>
        <v>30</v>
      </c>
      <c r="N35" s="139"/>
    </row>
    <row r="36" spans="1:14" s="88" customFormat="1" ht="93.75" customHeight="1">
      <c r="A36" s="87" t="s">
        <v>127</v>
      </c>
      <c r="B36" s="140" t="s">
        <v>179</v>
      </c>
      <c r="C36" s="155" t="s">
        <v>180</v>
      </c>
      <c r="D36" s="137">
        <f>SUM(D37+D39)</f>
        <v>21900</v>
      </c>
      <c r="E36" s="138">
        <f>SUM(E37+E39)</f>
        <v>30163.3</v>
      </c>
      <c r="F36" s="138">
        <v>23903.8</v>
      </c>
      <c r="G36" s="138">
        <f>SUM(G37+G39)</f>
        <v>25161.4</v>
      </c>
      <c r="H36" s="138">
        <f t="shared" si="0"/>
        <v>83.4</v>
      </c>
      <c r="I36" s="138">
        <f>SUM(I37+I39)</f>
        <v>29592.5</v>
      </c>
      <c r="J36" s="138">
        <f>SUM(J37+J39)</f>
        <v>24521.4</v>
      </c>
      <c r="K36" s="138">
        <f t="shared" si="1"/>
        <v>82.9</v>
      </c>
      <c r="L36" s="138">
        <f>SUM(L37+L39)</f>
        <v>31663.3</v>
      </c>
      <c r="M36" s="139">
        <f t="shared" si="3"/>
        <v>1500</v>
      </c>
      <c r="N36" s="139">
        <f t="shared" si="2"/>
        <v>105</v>
      </c>
    </row>
    <row r="37" spans="1:14" s="88" customFormat="1" ht="68.25" customHeight="1">
      <c r="A37" s="87" t="s">
        <v>181</v>
      </c>
      <c r="B37" s="140" t="s">
        <v>182</v>
      </c>
      <c r="C37" s="155" t="s">
        <v>183</v>
      </c>
      <c r="D37" s="137">
        <v>16100</v>
      </c>
      <c r="E37" s="139">
        <v>22163.3</v>
      </c>
      <c r="F37" s="139">
        <v>16869.7</v>
      </c>
      <c r="G37" s="139">
        <v>17676.2</v>
      </c>
      <c r="H37" s="138">
        <f t="shared" si="0"/>
        <v>79.8</v>
      </c>
      <c r="I37" s="139">
        <v>23342.5</v>
      </c>
      <c r="J37" s="139">
        <v>17985</v>
      </c>
      <c r="K37" s="138">
        <f t="shared" si="1"/>
        <v>77</v>
      </c>
      <c r="L37" s="139">
        <v>22163.3</v>
      </c>
      <c r="M37" s="139">
        <f t="shared" si="3"/>
        <v>0</v>
      </c>
      <c r="N37" s="139">
        <f t="shared" si="2"/>
        <v>100</v>
      </c>
    </row>
    <row r="38" spans="1:14" s="88" customFormat="1" ht="81" customHeight="1">
      <c r="A38" s="87" t="s">
        <v>181</v>
      </c>
      <c r="B38" s="140" t="s">
        <v>184</v>
      </c>
      <c r="C38" s="153" t="s">
        <v>185</v>
      </c>
      <c r="D38" s="137">
        <v>16100</v>
      </c>
      <c r="E38" s="139">
        <v>22163.3</v>
      </c>
      <c r="F38" s="139">
        <v>16869.7</v>
      </c>
      <c r="G38" s="139">
        <v>17676.2</v>
      </c>
      <c r="H38" s="138">
        <f t="shared" si="0"/>
        <v>79.8</v>
      </c>
      <c r="I38" s="139">
        <v>23342.5</v>
      </c>
      <c r="J38" s="139">
        <v>17985</v>
      </c>
      <c r="K38" s="138">
        <f t="shared" si="1"/>
        <v>77</v>
      </c>
      <c r="L38" s="139">
        <v>22163.3</v>
      </c>
      <c r="M38" s="139">
        <f t="shared" si="3"/>
        <v>0</v>
      </c>
      <c r="N38" s="139">
        <f t="shared" si="2"/>
        <v>100</v>
      </c>
    </row>
    <row r="39" spans="1:14" s="88" customFormat="1" ht="81" customHeight="1">
      <c r="A39" s="87" t="s">
        <v>181</v>
      </c>
      <c r="B39" s="140" t="s">
        <v>186</v>
      </c>
      <c r="C39" s="140" t="s">
        <v>187</v>
      </c>
      <c r="D39" s="137">
        <v>5800</v>
      </c>
      <c r="E39" s="139">
        <v>8000</v>
      </c>
      <c r="F39" s="139">
        <v>7034.1</v>
      </c>
      <c r="G39" s="139">
        <v>7485.2</v>
      </c>
      <c r="H39" s="138">
        <f t="shared" si="0"/>
        <v>93.6</v>
      </c>
      <c r="I39" s="139">
        <v>6250</v>
      </c>
      <c r="J39" s="139">
        <v>6536.4</v>
      </c>
      <c r="K39" s="138">
        <f t="shared" si="1"/>
        <v>104.6</v>
      </c>
      <c r="L39" s="139">
        <f>8000+1500</f>
        <v>9500</v>
      </c>
      <c r="M39" s="139">
        <f t="shared" si="3"/>
        <v>1500</v>
      </c>
      <c r="N39" s="139">
        <f t="shared" si="2"/>
        <v>118.8</v>
      </c>
    </row>
    <row r="40" spans="1:14" s="88" customFormat="1" ht="69" customHeight="1">
      <c r="A40" s="87" t="s">
        <v>181</v>
      </c>
      <c r="B40" s="140" t="s">
        <v>188</v>
      </c>
      <c r="C40" s="140" t="s">
        <v>189</v>
      </c>
      <c r="D40" s="137">
        <v>5800</v>
      </c>
      <c r="E40" s="139">
        <v>8000</v>
      </c>
      <c r="F40" s="139">
        <v>7034.1</v>
      </c>
      <c r="G40" s="139">
        <v>7485.2</v>
      </c>
      <c r="H40" s="138">
        <f t="shared" si="0"/>
        <v>93.6</v>
      </c>
      <c r="I40" s="139">
        <v>6250</v>
      </c>
      <c r="J40" s="139">
        <v>6536.4</v>
      </c>
      <c r="K40" s="138">
        <f t="shared" si="1"/>
        <v>104.6</v>
      </c>
      <c r="L40" s="139">
        <f>8000+1500</f>
        <v>9500</v>
      </c>
      <c r="M40" s="139">
        <f t="shared" si="3"/>
        <v>1500</v>
      </c>
      <c r="N40" s="139">
        <f t="shared" si="2"/>
        <v>118.8</v>
      </c>
    </row>
    <row r="41" spans="1:14" s="88" customFormat="1" ht="27.75" customHeight="1">
      <c r="A41" s="87" t="s">
        <v>181</v>
      </c>
      <c r="B41" s="140" t="s">
        <v>190</v>
      </c>
      <c r="C41" s="140" t="s">
        <v>191</v>
      </c>
      <c r="D41" s="137">
        <f>SUM(D43)</f>
        <v>4934.4</v>
      </c>
      <c r="E41" s="138">
        <f aca="true" t="shared" si="5" ref="E41:J41">SUM(E43)</f>
        <v>4934.4</v>
      </c>
      <c r="F41" s="138">
        <v>4639.2</v>
      </c>
      <c r="G41" s="138">
        <f t="shared" si="5"/>
        <v>4639.2</v>
      </c>
      <c r="H41" s="138">
        <f t="shared" si="0"/>
        <v>94</v>
      </c>
      <c r="I41" s="138">
        <f t="shared" si="5"/>
        <v>4886.6</v>
      </c>
      <c r="J41" s="138">
        <f t="shared" si="5"/>
        <v>4922.8</v>
      </c>
      <c r="K41" s="138">
        <f t="shared" si="1"/>
        <v>100.7</v>
      </c>
      <c r="L41" s="139">
        <v>4639.2</v>
      </c>
      <c r="M41" s="139">
        <f t="shared" si="3"/>
        <v>-295.2</v>
      </c>
      <c r="N41" s="139">
        <f t="shared" si="2"/>
        <v>94</v>
      </c>
    </row>
    <row r="42" spans="1:14" s="88" customFormat="1" ht="54.75" customHeight="1">
      <c r="A42" s="87" t="s">
        <v>181</v>
      </c>
      <c r="B42" s="140" t="s">
        <v>192</v>
      </c>
      <c r="C42" s="140" t="s">
        <v>193</v>
      </c>
      <c r="D42" s="137">
        <f>SUM(D43)</f>
        <v>4934.4</v>
      </c>
      <c r="E42" s="138">
        <f>SUM(E43)</f>
        <v>4934.4</v>
      </c>
      <c r="F42" s="138">
        <v>4639.2</v>
      </c>
      <c r="G42" s="138">
        <f>SUM(G43)</f>
        <v>4639.2</v>
      </c>
      <c r="H42" s="138">
        <f t="shared" si="0"/>
        <v>94</v>
      </c>
      <c r="I42" s="138">
        <f>SUM(I43)</f>
        <v>4886.6</v>
      </c>
      <c r="J42" s="138">
        <f>SUM(J43)</f>
        <v>4922.8</v>
      </c>
      <c r="K42" s="138">
        <f t="shared" si="1"/>
        <v>100.7</v>
      </c>
      <c r="L42" s="139">
        <v>4639.2</v>
      </c>
      <c r="M42" s="139">
        <f t="shared" si="3"/>
        <v>-295.2</v>
      </c>
      <c r="N42" s="139">
        <f t="shared" si="2"/>
        <v>94</v>
      </c>
    </row>
    <row r="43" spans="1:14" s="88" customFormat="1" ht="57" customHeight="1">
      <c r="A43" s="87" t="s">
        <v>181</v>
      </c>
      <c r="B43" s="140" t="s">
        <v>305</v>
      </c>
      <c r="C43" s="140" t="s">
        <v>194</v>
      </c>
      <c r="D43" s="137">
        <v>4934.4</v>
      </c>
      <c r="E43" s="139">
        <v>4934.4</v>
      </c>
      <c r="F43" s="139">
        <v>4639.2</v>
      </c>
      <c r="G43" s="139">
        <v>4639.2</v>
      </c>
      <c r="H43" s="138">
        <f t="shared" si="0"/>
        <v>94</v>
      </c>
      <c r="I43" s="139">
        <v>4886.6</v>
      </c>
      <c r="J43" s="139">
        <v>4922.8</v>
      </c>
      <c r="K43" s="138">
        <f t="shared" si="1"/>
        <v>100.7</v>
      </c>
      <c r="L43" s="139">
        <v>4639.2</v>
      </c>
      <c r="M43" s="139">
        <f t="shared" si="3"/>
        <v>-295.2</v>
      </c>
      <c r="N43" s="139">
        <f t="shared" si="2"/>
        <v>94</v>
      </c>
    </row>
    <row r="44" spans="1:14" s="88" customFormat="1" ht="70.5" customHeight="1" hidden="1">
      <c r="A44" s="87" t="s">
        <v>181</v>
      </c>
      <c r="B44" s="140" t="s">
        <v>195</v>
      </c>
      <c r="C44" s="145" t="s">
        <v>196</v>
      </c>
      <c r="D44" s="137"/>
      <c r="E44" s="139"/>
      <c r="F44" s="139"/>
      <c r="G44" s="139"/>
      <c r="H44" s="138"/>
      <c r="I44" s="139">
        <v>0</v>
      </c>
      <c r="J44" s="139">
        <v>67.1</v>
      </c>
      <c r="K44" s="138"/>
      <c r="L44" s="139"/>
      <c r="M44" s="139">
        <f t="shared" si="3"/>
        <v>0</v>
      </c>
      <c r="N44" s="139"/>
    </row>
    <row r="45" spans="1:14" s="90" customFormat="1" ht="25.5" customHeight="1">
      <c r="A45" s="89" t="s">
        <v>127</v>
      </c>
      <c r="B45" s="141" t="s">
        <v>197</v>
      </c>
      <c r="C45" s="141" t="s">
        <v>198</v>
      </c>
      <c r="D45" s="133">
        <f>SUM(D46)</f>
        <v>12741</v>
      </c>
      <c r="E45" s="134">
        <f>SUM(E46)</f>
        <v>18052</v>
      </c>
      <c r="F45" s="134">
        <v>12327.9</v>
      </c>
      <c r="G45" s="134">
        <f>SUM(G46)</f>
        <v>12328</v>
      </c>
      <c r="H45" s="134">
        <f t="shared" si="0"/>
        <v>68.3</v>
      </c>
      <c r="I45" s="134">
        <f>SUM(I46)</f>
        <v>18052</v>
      </c>
      <c r="J45" s="134">
        <f>SUM(J46)</f>
        <v>12824.1</v>
      </c>
      <c r="K45" s="134">
        <f t="shared" si="1"/>
        <v>71</v>
      </c>
      <c r="L45" s="134">
        <f>SUM(L46)</f>
        <v>18052</v>
      </c>
      <c r="M45" s="135">
        <f t="shared" si="3"/>
        <v>0</v>
      </c>
      <c r="N45" s="135">
        <f t="shared" si="2"/>
        <v>100</v>
      </c>
    </row>
    <row r="46" spans="1:14" s="88" customFormat="1" ht="26.25" customHeight="1">
      <c r="A46" s="87" t="s">
        <v>127</v>
      </c>
      <c r="B46" s="140" t="s">
        <v>199</v>
      </c>
      <c r="C46" s="140" t="s">
        <v>200</v>
      </c>
      <c r="D46" s="137">
        <v>12741</v>
      </c>
      <c r="E46" s="139">
        <v>18052</v>
      </c>
      <c r="F46" s="139">
        <v>12327.9</v>
      </c>
      <c r="G46" s="139">
        <v>12328</v>
      </c>
      <c r="H46" s="138">
        <f t="shared" si="0"/>
        <v>68.3</v>
      </c>
      <c r="I46" s="139">
        <v>18052</v>
      </c>
      <c r="J46" s="139">
        <v>12824.1</v>
      </c>
      <c r="K46" s="138">
        <f t="shared" si="1"/>
        <v>71</v>
      </c>
      <c r="L46" s="139">
        <v>18052</v>
      </c>
      <c r="M46" s="139">
        <f t="shared" si="3"/>
        <v>0</v>
      </c>
      <c r="N46" s="139">
        <f t="shared" si="2"/>
        <v>100</v>
      </c>
    </row>
    <row r="47" spans="1:14" s="88" customFormat="1" ht="37.5" customHeight="1">
      <c r="A47" s="87" t="s">
        <v>127</v>
      </c>
      <c r="B47" s="141" t="s">
        <v>306</v>
      </c>
      <c r="C47" s="141" t="s">
        <v>202</v>
      </c>
      <c r="D47" s="133">
        <f>SUM(D48)</f>
        <v>5134.5</v>
      </c>
      <c r="E47" s="134">
        <f>SUM(E48)</f>
        <v>5134.5</v>
      </c>
      <c r="F47" s="134">
        <v>5543.6</v>
      </c>
      <c r="G47" s="134">
        <f>SUM(G48)</f>
        <v>5543.6</v>
      </c>
      <c r="H47" s="134">
        <f t="shared" si="0"/>
        <v>108</v>
      </c>
      <c r="I47" s="134">
        <f>SUM(I48)</f>
        <v>35310.4</v>
      </c>
      <c r="J47" s="134">
        <f>SUM(J48)</f>
        <v>35367.3</v>
      </c>
      <c r="K47" s="134">
        <f t="shared" si="1"/>
        <v>100.2</v>
      </c>
      <c r="L47" s="134">
        <v>5543.6</v>
      </c>
      <c r="M47" s="135">
        <f t="shared" si="3"/>
        <v>409.1</v>
      </c>
      <c r="N47" s="135">
        <f t="shared" si="2"/>
        <v>108</v>
      </c>
    </row>
    <row r="48" spans="1:14" s="88" customFormat="1" ht="25.5" hidden="1">
      <c r="A48" s="87" t="s">
        <v>127</v>
      </c>
      <c r="B48" s="140" t="s">
        <v>201</v>
      </c>
      <c r="C48" s="140" t="s">
        <v>307</v>
      </c>
      <c r="D48" s="137">
        <v>5134.5</v>
      </c>
      <c r="E48" s="139">
        <v>5134.5</v>
      </c>
      <c r="F48" s="139">
        <v>5543.6</v>
      </c>
      <c r="G48" s="139">
        <v>5543.6</v>
      </c>
      <c r="H48" s="138">
        <f t="shared" si="0"/>
        <v>108</v>
      </c>
      <c r="I48" s="139">
        <f>SUM(I49)</f>
        <v>35310.4</v>
      </c>
      <c r="J48" s="139">
        <f>SUM(J49)</f>
        <v>35367.3</v>
      </c>
      <c r="K48" s="138">
        <f t="shared" si="1"/>
        <v>100.2</v>
      </c>
      <c r="L48" s="139"/>
      <c r="M48" s="139">
        <f t="shared" si="3"/>
        <v>-5134.5</v>
      </c>
      <c r="N48" s="139">
        <f t="shared" si="2"/>
        <v>0</v>
      </c>
    </row>
    <row r="49" spans="1:14" s="88" customFormat="1" ht="51" hidden="1">
      <c r="A49" s="87" t="s">
        <v>127</v>
      </c>
      <c r="B49" s="140" t="s">
        <v>308</v>
      </c>
      <c r="C49" s="140" t="s">
        <v>203</v>
      </c>
      <c r="D49" s="137">
        <v>5134.5</v>
      </c>
      <c r="E49" s="139">
        <v>5134.5</v>
      </c>
      <c r="F49" s="139">
        <v>5543.6</v>
      </c>
      <c r="G49" s="139">
        <v>5543.6</v>
      </c>
      <c r="H49" s="138">
        <f t="shared" si="0"/>
        <v>108</v>
      </c>
      <c r="I49" s="139">
        <v>35310.4</v>
      </c>
      <c r="J49" s="139">
        <v>35367.3</v>
      </c>
      <c r="K49" s="138">
        <f t="shared" si="1"/>
        <v>100.2</v>
      </c>
      <c r="L49" s="139"/>
      <c r="M49" s="139">
        <f t="shared" si="3"/>
        <v>-5134.5</v>
      </c>
      <c r="N49" s="139">
        <f t="shared" si="2"/>
        <v>0</v>
      </c>
    </row>
    <row r="50" spans="1:14" s="90" customFormat="1" ht="29.25" customHeight="1">
      <c r="A50" s="89" t="s">
        <v>181</v>
      </c>
      <c r="B50" s="141" t="s">
        <v>204</v>
      </c>
      <c r="C50" s="141" t="s">
        <v>205</v>
      </c>
      <c r="D50" s="133">
        <f>SUM(D52+D55)</f>
        <v>40500</v>
      </c>
      <c r="E50" s="134">
        <f>SUM(E52+E55)</f>
        <v>112250</v>
      </c>
      <c r="F50" s="134">
        <v>43316.9</v>
      </c>
      <c r="G50" s="134">
        <f>SUM(G52+G55)</f>
        <v>43325.6</v>
      </c>
      <c r="H50" s="134">
        <f t="shared" si="0"/>
        <v>38.6</v>
      </c>
      <c r="I50" s="134">
        <f>SUM(I52+I55+I51)</f>
        <v>43010.5</v>
      </c>
      <c r="J50" s="134">
        <f>SUM(J52+J55+J51)</f>
        <v>39670.2</v>
      </c>
      <c r="K50" s="134">
        <f t="shared" si="1"/>
        <v>92.2</v>
      </c>
      <c r="L50" s="134">
        <f>SUM(L52+L55)</f>
        <v>102306.6</v>
      </c>
      <c r="M50" s="135">
        <f t="shared" si="3"/>
        <v>-9943.4</v>
      </c>
      <c r="N50" s="135">
        <f t="shared" si="2"/>
        <v>91.1</v>
      </c>
    </row>
    <row r="51" spans="1:14" s="90" customFormat="1" ht="12.75" hidden="1">
      <c r="A51" s="87" t="s">
        <v>181</v>
      </c>
      <c r="B51" s="140" t="s">
        <v>309</v>
      </c>
      <c r="C51" s="145" t="s">
        <v>310</v>
      </c>
      <c r="D51" s="133"/>
      <c r="E51" s="134"/>
      <c r="F51" s="134"/>
      <c r="G51" s="134"/>
      <c r="H51" s="134"/>
      <c r="I51" s="139">
        <v>8408.9</v>
      </c>
      <c r="J51" s="139">
        <v>8408.9</v>
      </c>
      <c r="K51" s="138">
        <f t="shared" si="1"/>
        <v>100</v>
      </c>
      <c r="L51" s="134"/>
      <c r="M51" s="139">
        <f t="shared" si="3"/>
        <v>0</v>
      </c>
      <c r="N51" s="139" t="e">
        <f t="shared" si="2"/>
        <v>#DIV/0!</v>
      </c>
    </row>
    <row r="52" spans="1:14" s="88" customFormat="1" ht="81" customHeight="1">
      <c r="A52" s="87" t="s">
        <v>181</v>
      </c>
      <c r="B52" s="140" t="s">
        <v>206</v>
      </c>
      <c r="C52" s="140" t="s">
        <v>207</v>
      </c>
      <c r="D52" s="137">
        <v>30000</v>
      </c>
      <c r="E52" s="139">
        <v>97250</v>
      </c>
      <c r="F52" s="139">
        <v>28113.6</v>
      </c>
      <c r="G52" s="139">
        <v>28113.6</v>
      </c>
      <c r="H52" s="138">
        <f t="shared" si="0"/>
        <v>28.9</v>
      </c>
      <c r="I52" s="139">
        <v>18879.3</v>
      </c>
      <c r="J52" s="139">
        <v>16602.8</v>
      </c>
      <c r="K52" s="138">
        <f t="shared" si="1"/>
        <v>87.9</v>
      </c>
      <c r="L52" s="139">
        <f>SUM(L53)</f>
        <v>85250</v>
      </c>
      <c r="M52" s="139">
        <f t="shared" si="3"/>
        <v>-12000</v>
      </c>
      <c r="N52" s="139">
        <f t="shared" si="2"/>
        <v>87.7</v>
      </c>
    </row>
    <row r="53" spans="1:14" s="88" customFormat="1" ht="109.5" customHeight="1">
      <c r="A53" s="87" t="s">
        <v>181</v>
      </c>
      <c r="B53" s="140" t="s">
        <v>208</v>
      </c>
      <c r="C53" s="155" t="s">
        <v>209</v>
      </c>
      <c r="D53" s="137">
        <v>30000</v>
      </c>
      <c r="E53" s="139">
        <v>97250</v>
      </c>
      <c r="F53" s="139">
        <v>28074.8</v>
      </c>
      <c r="G53" s="139">
        <v>28113.6</v>
      </c>
      <c r="H53" s="138">
        <f t="shared" si="0"/>
        <v>28.9</v>
      </c>
      <c r="I53" s="139">
        <v>18879.3</v>
      </c>
      <c r="J53" s="139">
        <v>16602.8</v>
      </c>
      <c r="K53" s="138">
        <f t="shared" si="1"/>
        <v>87.9</v>
      </c>
      <c r="L53" s="139">
        <f>SUM(L54)</f>
        <v>85250</v>
      </c>
      <c r="M53" s="139">
        <f t="shared" si="3"/>
        <v>-12000</v>
      </c>
      <c r="N53" s="139">
        <f t="shared" si="2"/>
        <v>87.7</v>
      </c>
    </row>
    <row r="54" spans="1:14" s="88" customFormat="1" ht="106.5" customHeight="1">
      <c r="A54" s="87" t="s">
        <v>181</v>
      </c>
      <c r="B54" s="140" t="s">
        <v>210</v>
      </c>
      <c r="C54" s="155" t="s">
        <v>211</v>
      </c>
      <c r="D54" s="137">
        <v>30000</v>
      </c>
      <c r="E54" s="139">
        <v>97250</v>
      </c>
      <c r="F54" s="139">
        <v>28074.8</v>
      </c>
      <c r="G54" s="139">
        <v>28113.6</v>
      </c>
      <c r="H54" s="138">
        <f t="shared" si="0"/>
        <v>28.9</v>
      </c>
      <c r="I54" s="139">
        <v>18879.3</v>
      </c>
      <c r="J54" s="139">
        <v>16602.8</v>
      </c>
      <c r="K54" s="138">
        <f t="shared" si="1"/>
        <v>87.9</v>
      </c>
      <c r="L54" s="139">
        <v>85250</v>
      </c>
      <c r="M54" s="139">
        <f t="shared" si="3"/>
        <v>-12000</v>
      </c>
      <c r="N54" s="139">
        <f t="shared" si="2"/>
        <v>87.7</v>
      </c>
    </row>
    <row r="55" spans="1:14" s="88" customFormat="1" ht="55.5" customHeight="1">
      <c r="A55" s="87" t="s">
        <v>181</v>
      </c>
      <c r="B55" s="140" t="s">
        <v>212</v>
      </c>
      <c r="C55" s="155" t="s">
        <v>213</v>
      </c>
      <c r="D55" s="137">
        <f>D56</f>
        <v>10500</v>
      </c>
      <c r="E55" s="138">
        <f>SUM(E56:E57)</f>
        <v>15000</v>
      </c>
      <c r="F55" s="138">
        <v>15203.3</v>
      </c>
      <c r="G55" s="138">
        <f>SUM(G56:G57)</f>
        <v>15212</v>
      </c>
      <c r="H55" s="138">
        <f t="shared" si="0"/>
        <v>101.4</v>
      </c>
      <c r="I55" s="138">
        <f>SUM(I56:I57)</f>
        <v>15722.3</v>
      </c>
      <c r="J55" s="138">
        <f>SUM(J56:J57)</f>
        <v>14658.5</v>
      </c>
      <c r="K55" s="138">
        <f t="shared" si="1"/>
        <v>93.2</v>
      </c>
      <c r="L55" s="138">
        <f>SUM(L56:L57)</f>
        <v>17056.6</v>
      </c>
      <c r="M55" s="139">
        <f t="shared" si="3"/>
        <v>2056.6</v>
      </c>
      <c r="N55" s="139">
        <f t="shared" si="2"/>
        <v>113.7</v>
      </c>
    </row>
    <row r="56" spans="1:14" s="88" customFormat="1" ht="54" customHeight="1">
      <c r="A56" s="87" t="s">
        <v>181</v>
      </c>
      <c r="B56" s="140" t="s">
        <v>214</v>
      </c>
      <c r="C56" s="155" t="s">
        <v>215</v>
      </c>
      <c r="D56" s="137">
        <v>10500</v>
      </c>
      <c r="E56" s="139">
        <v>15000</v>
      </c>
      <c r="F56" s="139">
        <v>14774.3</v>
      </c>
      <c r="G56" s="139">
        <v>14783</v>
      </c>
      <c r="H56" s="138">
        <f t="shared" si="0"/>
        <v>98.6</v>
      </c>
      <c r="I56" s="139">
        <v>15722.3</v>
      </c>
      <c r="J56" s="139">
        <v>14658.5</v>
      </c>
      <c r="K56" s="138">
        <f t="shared" si="1"/>
        <v>93.2</v>
      </c>
      <c r="L56" s="139">
        <v>15627.6</v>
      </c>
      <c r="M56" s="139">
        <f t="shared" si="3"/>
        <v>627.6</v>
      </c>
      <c r="N56" s="139">
        <f t="shared" si="2"/>
        <v>104.2</v>
      </c>
    </row>
    <row r="57" spans="1:14" s="88" customFormat="1" ht="68.25" customHeight="1">
      <c r="A57" s="87" t="s">
        <v>181</v>
      </c>
      <c r="B57" s="140" t="s">
        <v>311</v>
      </c>
      <c r="C57" s="142" t="s">
        <v>312</v>
      </c>
      <c r="D57" s="137">
        <v>0</v>
      </c>
      <c r="E57" s="139">
        <v>0</v>
      </c>
      <c r="F57" s="139">
        <v>429</v>
      </c>
      <c r="G57" s="139">
        <v>429</v>
      </c>
      <c r="H57" s="138"/>
      <c r="I57" s="139">
        <v>0</v>
      </c>
      <c r="J57" s="139">
        <v>0</v>
      </c>
      <c r="K57" s="138"/>
      <c r="L57" s="139">
        <f>429+1000</f>
        <v>1429</v>
      </c>
      <c r="M57" s="139">
        <f t="shared" si="3"/>
        <v>1429</v>
      </c>
      <c r="N57" s="139"/>
    </row>
    <row r="58" spans="1:14" s="90" customFormat="1" ht="27" customHeight="1">
      <c r="A58" s="89" t="s">
        <v>127</v>
      </c>
      <c r="B58" s="141" t="s">
        <v>216</v>
      </c>
      <c r="C58" s="141" t="s">
        <v>217</v>
      </c>
      <c r="D58" s="133">
        <f>SUM(D59+D62+D63+D64+D66+D70+D71+D74)</f>
        <v>5434.2</v>
      </c>
      <c r="E58" s="134">
        <f>SUM(E60+E61+E62+E63+E64+E66++E70+E71+E72+E73+E74)</f>
        <v>7360.4</v>
      </c>
      <c r="F58" s="134">
        <v>7202.9</v>
      </c>
      <c r="G58" s="134">
        <f>SUM(G60+G61+G62+G63+G64+G66++G70+G71+G72+G73+G74)</f>
        <v>7633.7</v>
      </c>
      <c r="H58" s="134">
        <f t="shared" si="0"/>
        <v>103.7</v>
      </c>
      <c r="I58" s="134">
        <f>SUM(I60+I61+I62+I63+I64+I66++I70+I71+I72+I73+I74)</f>
        <v>10721.5</v>
      </c>
      <c r="J58" s="134">
        <f>SUM(J60+J61+J62+J63+J64+J66++J70+J71+J72+J73+J74)</f>
        <v>6098.5</v>
      </c>
      <c r="K58" s="134">
        <f t="shared" si="1"/>
        <v>56.9</v>
      </c>
      <c r="L58" s="134">
        <f>SUM(L74+L73+L72+L71+L70+L66+L64+L63++L62+L59)</f>
        <v>8233.1</v>
      </c>
      <c r="M58" s="135">
        <f t="shared" si="3"/>
        <v>872.7</v>
      </c>
      <c r="N58" s="135">
        <f t="shared" si="2"/>
        <v>111.9</v>
      </c>
    </row>
    <row r="59" spans="1:14" s="92" customFormat="1" ht="38.25">
      <c r="A59" s="91" t="s">
        <v>127</v>
      </c>
      <c r="B59" s="146" t="s">
        <v>218</v>
      </c>
      <c r="C59" s="140" t="s">
        <v>219</v>
      </c>
      <c r="D59" s="137">
        <f>D60+D61</f>
        <v>65.5</v>
      </c>
      <c r="E59" s="138">
        <f>E60+E61</f>
        <v>84.6</v>
      </c>
      <c r="F59" s="138">
        <v>110</v>
      </c>
      <c r="G59" s="138">
        <f>G60+G61</f>
        <v>112.1</v>
      </c>
      <c r="H59" s="138">
        <f t="shared" si="0"/>
        <v>132.5</v>
      </c>
      <c r="I59" s="138">
        <f>I60+I61</f>
        <v>226.5</v>
      </c>
      <c r="J59" s="138">
        <f>J60+J61</f>
        <v>63.2</v>
      </c>
      <c r="K59" s="138">
        <f t="shared" si="1"/>
        <v>27.9</v>
      </c>
      <c r="L59" s="138">
        <f>SUM(L60+L61)</f>
        <v>146.2</v>
      </c>
      <c r="M59" s="139">
        <f t="shared" si="3"/>
        <v>61.6</v>
      </c>
      <c r="N59" s="139">
        <f t="shared" si="2"/>
        <v>172.8</v>
      </c>
    </row>
    <row r="60" spans="1:14" s="92" customFormat="1" ht="81" customHeight="1">
      <c r="A60" s="91" t="s">
        <v>127</v>
      </c>
      <c r="B60" s="146" t="s">
        <v>220</v>
      </c>
      <c r="C60" s="140" t="s">
        <v>221</v>
      </c>
      <c r="D60" s="137">
        <v>32.8</v>
      </c>
      <c r="E60" s="139">
        <v>41</v>
      </c>
      <c r="F60" s="139">
        <v>95.7</v>
      </c>
      <c r="G60" s="139">
        <v>97.4</v>
      </c>
      <c r="H60" s="138">
        <f t="shared" si="0"/>
        <v>237.6</v>
      </c>
      <c r="I60" s="139">
        <v>184.7</v>
      </c>
      <c r="J60" s="139">
        <v>32.2</v>
      </c>
      <c r="K60" s="138">
        <f t="shared" si="1"/>
        <v>17.4</v>
      </c>
      <c r="L60" s="139">
        <v>127</v>
      </c>
      <c r="M60" s="139">
        <f t="shared" si="3"/>
        <v>86</v>
      </c>
      <c r="N60" s="139">
        <f t="shared" si="2"/>
        <v>309.8</v>
      </c>
    </row>
    <row r="61" spans="1:14" s="92" customFormat="1" ht="66" customHeight="1">
      <c r="A61" s="91" t="s">
        <v>127</v>
      </c>
      <c r="B61" s="146" t="s">
        <v>222</v>
      </c>
      <c r="C61" s="140" t="s">
        <v>223</v>
      </c>
      <c r="D61" s="137">
        <v>32.7</v>
      </c>
      <c r="E61" s="139">
        <v>43.6</v>
      </c>
      <c r="F61" s="139">
        <v>14.4</v>
      </c>
      <c r="G61" s="139">
        <v>14.7</v>
      </c>
      <c r="H61" s="138">
        <f t="shared" si="0"/>
        <v>33.7</v>
      </c>
      <c r="I61" s="139">
        <v>41.8</v>
      </c>
      <c r="J61" s="139">
        <v>31</v>
      </c>
      <c r="K61" s="138">
        <f t="shared" si="1"/>
        <v>74.2</v>
      </c>
      <c r="L61" s="139">
        <v>19.2</v>
      </c>
      <c r="M61" s="139">
        <f t="shared" si="3"/>
        <v>-24.4</v>
      </c>
      <c r="N61" s="139">
        <f t="shared" si="2"/>
        <v>44</v>
      </c>
    </row>
    <row r="62" spans="1:14" s="92" customFormat="1" ht="66.75" customHeight="1">
      <c r="A62" s="91" t="s">
        <v>127</v>
      </c>
      <c r="B62" s="146" t="s">
        <v>224</v>
      </c>
      <c r="C62" s="140" t="s">
        <v>225</v>
      </c>
      <c r="D62" s="137">
        <v>175.3</v>
      </c>
      <c r="E62" s="139">
        <v>196.3</v>
      </c>
      <c r="F62" s="139">
        <v>137.5</v>
      </c>
      <c r="G62" s="139">
        <v>137.5</v>
      </c>
      <c r="H62" s="138">
        <f t="shared" si="0"/>
        <v>70</v>
      </c>
      <c r="I62" s="139">
        <v>906.1</v>
      </c>
      <c r="J62" s="139">
        <v>123.3</v>
      </c>
      <c r="K62" s="138">
        <f t="shared" si="1"/>
        <v>13.6</v>
      </c>
      <c r="L62" s="139">
        <v>183.3</v>
      </c>
      <c r="M62" s="139">
        <f t="shared" si="3"/>
        <v>-13</v>
      </c>
      <c r="N62" s="139">
        <f t="shared" si="2"/>
        <v>93.4</v>
      </c>
    </row>
    <row r="63" spans="1:14" s="92" customFormat="1" ht="81" customHeight="1">
      <c r="A63" s="91" t="s">
        <v>127</v>
      </c>
      <c r="B63" s="146" t="s">
        <v>226</v>
      </c>
      <c r="C63" s="140" t="s">
        <v>227</v>
      </c>
      <c r="D63" s="137">
        <v>80.3</v>
      </c>
      <c r="E63" s="139">
        <v>94.5</v>
      </c>
      <c r="F63" s="139">
        <v>99.1</v>
      </c>
      <c r="G63" s="139">
        <v>99.1</v>
      </c>
      <c r="H63" s="138">
        <f t="shared" si="0"/>
        <v>104.9</v>
      </c>
      <c r="I63" s="139">
        <v>172.3</v>
      </c>
      <c r="J63" s="139">
        <v>86.1</v>
      </c>
      <c r="K63" s="138">
        <f t="shared" si="1"/>
        <v>50</v>
      </c>
      <c r="L63" s="139">
        <v>132.1</v>
      </c>
      <c r="M63" s="139">
        <f t="shared" si="3"/>
        <v>37.6</v>
      </c>
      <c r="N63" s="139">
        <f t="shared" si="2"/>
        <v>139.8</v>
      </c>
    </row>
    <row r="64" spans="1:14" s="92" customFormat="1" ht="53.25" customHeight="1">
      <c r="A64" s="91" t="s">
        <v>127</v>
      </c>
      <c r="B64" s="146" t="s">
        <v>228</v>
      </c>
      <c r="C64" s="140" t="s">
        <v>229</v>
      </c>
      <c r="D64" s="137">
        <f>SUM(D65)</f>
        <v>36.1</v>
      </c>
      <c r="E64" s="138">
        <f>SUM(E65)</f>
        <v>51.9</v>
      </c>
      <c r="F64" s="138">
        <v>163.5</v>
      </c>
      <c r="G64" s="138">
        <f>SUM(G65)</f>
        <v>163.5</v>
      </c>
      <c r="H64" s="138">
        <f t="shared" si="0"/>
        <v>315</v>
      </c>
      <c r="I64" s="138">
        <f>SUM(I65)</f>
        <v>201.3</v>
      </c>
      <c r="J64" s="138">
        <f>SUM(J65)</f>
        <v>43.8</v>
      </c>
      <c r="K64" s="138">
        <f t="shared" si="1"/>
        <v>21.8</v>
      </c>
      <c r="L64" s="138">
        <v>217.9</v>
      </c>
      <c r="M64" s="139">
        <f t="shared" si="3"/>
        <v>166</v>
      </c>
      <c r="N64" s="139">
        <f t="shared" si="2"/>
        <v>419.8</v>
      </c>
    </row>
    <row r="65" spans="1:14" s="92" customFormat="1" ht="76.5" hidden="1">
      <c r="A65" s="91" t="s">
        <v>127</v>
      </c>
      <c r="B65" s="146" t="s">
        <v>230</v>
      </c>
      <c r="C65" s="140" t="s">
        <v>231</v>
      </c>
      <c r="D65" s="137">
        <v>36.1</v>
      </c>
      <c r="E65" s="139">
        <v>51.9</v>
      </c>
      <c r="F65" s="139">
        <v>163.5</v>
      </c>
      <c r="G65" s="139">
        <v>163.5</v>
      </c>
      <c r="H65" s="138">
        <f t="shared" si="0"/>
        <v>315</v>
      </c>
      <c r="I65" s="139">
        <v>201.3</v>
      </c>
      <c r="J65" s="139">
        <v>43.8</v>
      </c>
      <c r="K65" s="138">
        <f t="shared" si="1"/>
        <v>21.8</v>
      </c>
      <c r="L65" s="139"/>
      <c r="M65" s="139">
        <f t="shared" si="3"/>
        <v>-51.9</v>
      </c>
      <c r="N65" s="139">
        <f t="shared" si="2"/>
        <v>0</v>
      </c>
    </row>
    <row r="66" spans="1:14" s="92" customFormat="1" ht="78.75" customHeight="1">
      <c r="A66" s="91" t="s">
        <v>127</v>
      </c>
      <c r="B66" s="146" t="s">
        <v>232</v>
      </c>
      <c r="C66" s="155" t="s">
        <v>233</v>
      </c>
      <c r="D66" s="137">
        <f>D67+D69</f>
        <v>103.3</v>
      </c>
      <c r="E66" s="138">
        <f>SUM(E67:E69)</f>
        <v>132.3</v>
      </c>
      <c r="F66" s="138">
        <v>320.7</v>
      </c>
      <c r="G66" s="138">
        <f>SUM(G67:G69)</f>
        <v>341.5</v>
      </c>
      <c r="H66" s="138">
        <f t="shared" si="0"/>
        <v>258.1</v>
      </c>
      <c r="I66" s="138">
        <f>SUM(I67:I69)</f>
        <v>1245.8</v>
      </c>
      <c r="J66" s="138">
        <f>SUM(J67:J69)</f>
        <v>307.6</v>
      </c>
      <c r="K66" s="138">
        <f t="shared" si="1"/>
        <v>24.7</v>
      </c>
      <c r="L66" s="138">
        <f>SUM(L67+L68+L69)</f>
        <v>427.5</v>
      </c>
      <c r="M66" s="139">
        <f t="shared" si="3"/>
        <v>295.2</v>
      </c>
      <c r="N66" s="139">
        <f t="shared" si="2"/>
        <v>323.1</v>
      </c>
    </row>
    <row r="67" spans="1:14" s="92" customFormat="1" ht="40.5" customHeight="1">
      <c r="A67" s="91" t="s">
        <v>127</v>
      </c>
      <c r="B67" s="146" t="s">
        <v>234</v>
      </c>
      <c r="C67" s="140" t="s">
        <v>235</v>
      </c>
      <c r="D67" s="137">
        <v>13.9</v>
      </c>
      <c r="E67" s="139">
        <v>15.4</v>
      </c>
      <c r="F67" s="139">
        <v>0</v>
      </c>
      <c r="G67" s="139">
        <v>0</v>
      </c>
      <c r="H67" s="138"/>
      <c r="I67" s="139">
        <v>91.4</v>
      </c>
      <c r="J67" s="139">
        <v>9.8</v>
      </c>
      <c r="K67" s="138">
        <f t="shared" si="1"/>
        <v>10.7</v>
      </c>
      <c r="L67" s="139">
        <v>0</v>
      </c>
      <c r="M67" s="139">
        <f t="shared" si="3"/>
        <v>-15.4</v>
      </c>
      <c r="N67" s="139"/>
    </row>
    <row r="68" spans="1:14" s="92" customFormat="1" ht="38.25">
      <c r="A68" s="91" t="s">
        <v>127</v>
      </c>
      <c r="B68" s="146" t="s">
        <v>236</v>
      </c>
      <c r="C68" s="142" t="s">
        <v>313</v>
      </c>
      <c r="D68" s="147">
        <v>0</v>
      </c>
      <c r="E68" s="139">
        <v>0</v>
      </c>
      <c r="F68" s="139">
        <v>120</v>
      </c>
      <c r="G68" s="139">
        <v>120</v>
      </c>
      <c r="H68" s="138"/>
      <c r="I68" s="139">
        <v>848.9</v>
      </c>
      <c r="J68" s="139">
        <v>110</v>
      </c>
      <c r="K68" s="138">
        <f t="shared" si="1"/>
        <v>13</v>
      </c>
      <c r="L68" s="139">
        <v>159.9</v>
      </c>
      <c r="M68" s="139">
        <f t="shared" si="3"/>
        <v>159.9</v>
      </c>
      <c r="N68" s="139"/>
    </row>
    <row r="69" spans="1:14" s="92" customFormat="1" ht="25.5">
      <c r="A69" s="91" t="s">
        <v>127</v>
      </c>
      <c r="B69" s="146" t="s">
        <v>237</v>
      </c>
      <c r="C69" s="140" t="s">
        <v>238</v>
      </c>
      <c r="D69" s="137">
        <v>89.4</v>
      </c>
      <c r="E69" s="139">
        <v>116.9</v>
      </c>
      <c r="F69" s="139">
        <v>200.7</v>
      </c>
      <c r="G69" s="139">
        <v>221.5</v>
      </c>
      <c r="H69" s="138">
        <f t="shared" si="0"/>
        <v>189.5</v>
      </c>
      <c r="I69" s="139">
        <v>305.5</v>
      </c>
      <c r="J69" s="139">
        <v>187.8</v>
      </c>
      <c r="K69" s="138">
        <f t="shared" si="1"/>
        <v>61.5</v>
      </c>
      <c r="L69" s="139">
        <v>267.6</v>
      </c>
      <c r="M69" s="139">
        <f t="shared" si="3"/>
        <v>150.7</v>
      </c>
      <c r="N69" s="139">
        <f t="shared" si="2"/>
        <v>228.9</v>
      </c>
    </row>
    <row r="70" spans="1:14" s="92" customFormat="1" ht="39" customHeight="1">
      <c r="A70" s="91" t="s">
        <v>127</v>
      </c>
      <c r="B70" s="146" t="s">
        <v>239</v>
      </c>
      <c r="C70" s="140" t="s">
        <v>240</v>
      </c>
      <c r="D70" s="137">
        <v>0.6</v>
      </c>
      <c r="E70" s="139">
        <v>1</v>
      </c>
      <c r="F70" s="139">
        <v>15.6</v>
      </c>
      <c r="G70" s="139">
        <v>15.6</v>
      </c>
      <c r="H70" s="138">
        <f>SUM(G70*100/E70)</f>
        <v>1560</v>
      </c>
      <c r="I70" s="139">
        <v>43.7</v>
      </c>
      <c r="J70" s="139">
        <v>0.1</v>
      </c>
      <c r="K70" s="138">
        <f>SUM(J70*100/I70)</f>
        <v>0.2</v>
      </c>
      <c r="L70" s="139">
        <v>20.7</v>
      </c>
      <c r="M70" s="139">
        <f t="shared" si="3"/>
        <v>19.7</v>
      </c>
      <c r="N70" s="139">
        <f aca="true" t="shared" si="6" ref="N70:N79">SUM(L70/E70*100)</f>
        <v>2070</v>
      </c>
    </row>
    <row r="71" spans="1:14" s="92" customFormat="1" ht="38.25">
      <c r="A71" s="91" t="s">
        <v>127</v>
      </c>
      <c r="B71" s="146" t="s">
        <v>241</v>
      </c>
      <c r="C71" s="140" t="s">
        <v>242</v>
      </c>
      <c r="D71" s="137">
        <v>1864.3</v>
      </c>
      <c r="E71" s="139">
        <v>2421.1</v>
      </c>
      <c r="F71" s="139">
        <v>2364.8</v>
      </c>
      <c r="G71" s="139">
        <v>2504.1</v>
      </c>
      <c r="H71" s="138">
        <f>SUM(G71*100/E71)</f>
        <v>103.4</v>
      </c>
      <c r="I71" s="139">
        <v>3714.2</v>
      </c>
      <c r="J71" s="139">
        <v>2005.3</v>
      </c>
      <c r="K71" s="138">
        <f>SUM(J71*100/I71)</f>
        <v>54</v>
      </c>
      <c r="L71" s="139">
        <v>2421.1</v>
      </c>
      <c r="M71" s="139">
        <f aca="true" t="shared" si="7" ref="M71:M78">SUM(L71-E71)</f>
        <v>0</v>
      </c>
      <c r="N71" s="139">
        <f t="shared" si="6"/>
        <v>100</v>
      </c>
    </row>
    <row r="72" spans="1:14" s="92" customFormat="1" ht="51.75" customHeight="1">
      <c r="A72" s="91" t="s">
        <v>127</v>
      </c>
      <c r="B72" s="146" t="s">
        <v>314</v>
      </c>
      <c r="C72" s="142" t="s">
        <v>315</v>
      </c>
      <c r="D72" s="147">
        <v>0</v>
      </c>
      <c r="E72" s="139">
        <v>0</v>
      </c>
      <c r="F72" s="139">
        <v>179.3</v>
      </c>
      <c r="G72" s="139">
        <v>205.5</v>
      </c>
      <c r="H72" s="138"/>
      <c r="I72" s="139">
        <v>0</v>
      </c>
      <c r="J72" s="139">
        <v>0.1</v>
      </c>
      <c r="K72" s="138"/>
      <c r="L72" s="139">
        <v>239</v>
      </c>
      <c r="M72" s="139">
        <f t="shared" si="7"/>
        <v>239</v>
      </c>
      <c r="N72" s="139"/>
    </row>
    <row r="73" spans="1:14" s="92" customFormat="1" ht="55.5" customHeight="1">
      <c r="A73" s="91" t="s">
        <v>127</v>
      </c>
      <c r="B73" s="146" t="s">
        <v>316</v>
      </c>
      <c r="C73" s="142" t="s">
        <v>317</v>
      </c>
      <c r="D73" s="147">
        <v>0</v>
      </c>
      <c r="E73" s="139">
        <v>0</v>
      </c>
      <c r="F73" s="139">
        <v>50</v>
      </c>
      <c r="G73" s="139">
        <v>50</v>
      </c>
      <c r="H73" s="138"/>
      <c r="I73" s="139">
        <v>0</v>
      </c>
      <c r="J73" s="139">
        <v>0.9</v>
      </c>
      <c r="K73" s="138"/>
      <c r="L73" s="139">
        <v>66.6</v>
      </c>
      <c r="M73" s="139">
        <f t="shared" si="7"/>
        <v>66.6</v>
      </c>
      <c r="N73" s="139"/>
    </row>
    <row r="74" spans="1:14" s="92" customFormat="1" ht="38.25">
      <c r="A74" s="91" t="s">
        <v>127</v>
      </c>
      <c r="B74" s="146" t="s">
        <v>243</v>
      </c>
      <c r="C74" s="140" t="s">
        <v>244</v>
      </c>
      <c r="D74" s="148">
        <f>D75</f>
        <v>3108.8</v>
      </c>
      <c r="E74" s="149">
        <f>E75</f>
        <v>4378.7</v>
      </c>
      <c r="F74" s="149">
        <v>3762.3</v>
      </c>
      <c r="G74" s="149">
        <f>G75</f>
        <v>4004.8</v>
      </c>
      <c r="H74" s="138">
        <f>SUM(G74*100/E74)</f>
        <v>91.5</v>
      </c>
      <c r="I74" s="149">
        <f>I75</f>
        <v>4211.6</v>
      </c>
      <c r="J74" s="149">
        <f>J75</f>
        <v>3468.1</v>
      </c>
      <c r="K74" s="138">
        <f>SUM(J74*100/I74)</f>
        <v>82.3</v>
      </c>
      <c r="L74" s="149">
        <v>4378.7</v>
      </c>
      <c r="M74" s="139">
        <f t="shared" si="7"/>
        <v>0</v>
      </c>
      <c r="N74" s="139">
        <f t="shared" si="6"/>
        <v>100</v>
      </c>
    </row>
    <row r="75" spans="1:14" s="92" customFormat="1" ht="27" customHeight="1" hidden="1">
      <c r="A75" s="91" t="s">
        <v>127</v>
      </c>
      <c r="B75" s="146" t="s">
        <v>245</v>
      </c>
      <c r="C75" s="140" t="s">
        <v>246</v>
      </c>
      <c r="D75" s="137">
        <v>3108.8</v>
      </c>
      <c r="E75" s="139">
        <v>4378.7</v>
      </c>
      <c r="F75" s="139">
        <v>3762.3</v>
      </c>
      <c r="G75" s="139">
        <v>4004.8</v>
      </c>
      <c r="H75" s="138">
        <f>SUM(G75*100/E75)</f>
        <v>91.5</v>
      </c>
      <c r="I75" s="139">
        <v>4211.6</v>
      </c>
      <c r="J75" s="139">
        <v>3468.1</v>
      </c>
      <c r="K75" s="138">
        <f>SUM(J75*100/I75)</f>
        <v>82.3</v>
      </c>
      <c r="L75" s="139"/>
      <c r="M75" s="139">
        <f t="shared" si="7"/>
        <v>-4378.7</v>
      </c>
      <c r="N75" s="139">
        <f t="shared" si="6"/>
        <v>0</v>
      </c>
    </row>
    <row r="76" spans="1:14" s="94" customFormat="1" ht="14.25" customHeight="1">
      <c r="A76" s="93" t="s">
        <v>127</v>
      </c>
      <c r="B76" s="150" t="s">
        <v>247</v>
      </c>
      <c r="C76" s="141" t="s">
        <v>248</v>
      </c>
      <c r="D76" s="133">
        <f>SUM(D78)</f>
        <v>3</v>
      </c>
      <c r="E76" s="134">
        <f>SUM(E77:E79)</f>
        <v>4</v>
      </c>
      <c r="F76" s="134">
        <v>-52.2</v>
      </c>
      <c r="G76" s="134">
        <f>SUM(G77:G79)</f>
        <v>-19.2</v>
      </c>
      <c r="H76" s="134">
        <f>SUM(G76*100/E76)</f>
        <v>-480</v>
      </c>
      <c r="I76" s="134">
        <f>SUM(I77:I79)</f>
        <v>8</v>
      </c>
      <c r="J76" s="134">
        <f>SUM(J77:J79)</f>
        <v>164.6</v>
      </c>
      <c r="K76" s="134">
        <f>SUM(J76*100/I76)</f>
        <v>2057.5</v>
      </c>
      <c r="L76" s="134">
        <f>SUM(L77:L78)</f>
        <v>0.3</v>
      </c>
      <c r="M76" s="135">
        <f t="shared" si="7"/>
        <v>-3.7</v>
      </c>
      <c r="N76" s="135">
        <f t="shared" si="6"/>
        <v>7.5</v>
      </c>
    </row>
    <row r="77" spans="1:14" s="94" customFormat="1" ht="15.75" customHeight="1">
      <c r="A77" s="91" t="s">
        <v>127</v>
      </c>
      <c r="B77" s="146" t="s">
        <v>249</v>
      </c>
      <c r="C77" s="142" t="s">
        <v>250</v>
      </c>
      <c r="D77" s="137">
        <v>0</v>
      </c>
      <c r="E77" s="139">
        <v>0</v>
      </c>
      <c r="F77" s="139">
        <v>-52.5</v>
      </c>
      <c r="G77" s="139">
        <v>-20.2</v>
      </c>
      <c r="H77" s="134"/>
      <c r="I77" s="139">
        <v>0</v>
      </c>
      <c r="J77" s="139">
        <v>161.9</v>
      </c>
      <c r="K77" s="134"/>
      <c r="L77" s="139">
        <v>0</v>
      </c>
      <c r="M77" s="139">
        <f t="shared" si="7"/>
        <v>0</v>
      </c>
      <c r="N77" s="139"/>
    </row>
    <row r="78" spans="1:14" s="92" customFormat="1" ht="12.75">
      <c r="A78" s="91" t="s">
        <v>127</v>
      </c>
      <c r="B78" s="146" t="s">
        <v>251</v>
      </c>
      <c r="C78" s="140" t="s">
        <v>252</v>
      </c>
      <c r="D78" s="137">
        <v>3</v>
      </c>
      <c r="E78" s="139">
        <v>4</v>
      </c>
      <c r="F78" s="139">
        <v>0.3</v>
      </c>
      <c r="G78" s="139">
        <v>1</v>
      </c>
      <c r="H78" s="138">
        <f>SUM(G78*100/E78)</f>
        <v>25</v>
      </c>
      <c r="I78" s="139">
        <v>8</v>
      </c>
      <c r="J78" s="139">
        <v>2.7</v>
      </c>
      <c r="K78" s="138">
        <f>SUM(J78*100/I78)</f>
        <v>33.8</v>
      </c>
      <c r="L78" s="139">
        <v>0.3</v>
      </c>
      <c r="M78" s="139">
        <f t="shared" si="7"/>
        <v>-3.7</v>
      </c>
      <c r="N78" s="139">
        <f t="shared" si="6"/>
        <v>7.5</v>
      </c>
    </row>
    <row r="79" spans="1:14" s="92" customFormat="1" ht="30" customHeight="1" hidden="1">
      <c r="A79" s="91" t="s">
        <v>127</v>
      </c>
      <c r="B79" s="146" t="s">
        <v>253</v>
      </c>
      <c r="C79" s="140" t="s">
        <v>254</v>
      </c>
      <c r="D79" s="137"/>
      <c r="E79" s="95"/>
      <c r="F79" s="95"/>
      <c r="G79" s="95"/>
      <c r="H79" s="95"/>
      <c r="I79" s="95"/>
      <c r="J79" s="95"/>
      <c r="K79" s="95"/>
      <c r="L79" s="95"/>
      <c r="M79" s="151"/>
      <c r="N79" s="152" t="e">
        <f t="shared" si="6"/>
        <v>#DIV/0!</v>
      </c>
    </row>
    <row r="80" ht="12.75">
      <c r="C80" s="88"/>
    </row>
    <row r="81" ht="12.75">
      <c r="C81" s="88"/>
    </row>
    <row r="82" ht="12.75">
      <c r="C82" s="88"/>
    </row>
    <row r="83" ht="12.75">
      <c r="C83" s="88"/>
    </row>
    <row r="84" ht="12.75">
      <c r="C84" s="88"/>
    </row>
    <row r="85" ht="12.75">
      <c r="C85" s="88"/>
    </row>
    <row r="86" ht="12.75">
      <c r="C86" s="88"/>
    </row>
  </sheetData>
  <mergeCells count="4">
    <mergeCell ref="A4:B4"/>
    <mergeCell ref="A1:D1"/>
    <mergeCell ref="A2:N2"/>
    <mergeCell ref="B3:D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7"/>
  <sheetViews>
    <sheetView zoomScale="75" zoomScaleNormal="75" workbookViewId="0" topLeftCell="A1">
      <selection activeCell="G22" sqref="G22"/>
    </sheetView>
  </sheetViews>
  <sheetFormatPr defaultColWidth="9.140625" defaultRowHeight="12.75"/>
  <cols>
    <col min="1" max="1" width="48.57421875" style="243" customWidth="1"/>
    <col min="2" max="2" width="9.7109375" style="244" customWidth="1"/>
    <col min="3" max="3" width="12.00390625" style="290" customWidth="1"/>
    <col min="4" max="4" width="11.7109375" style="290" customWidth="1"/>
    <col min="5" max="5" width="12.140625" style="290" customWidth="1"/>
    <col min="6" max="6" width="12.00390625" style="290" customWidth="1"/>
    <col min="7" max="7" width="11.7109375" style="290" customWidth="1"/>
    <col min="8" max="8" width="12.140625" style="290" customWidth="1"/>
    <col min="9" max="9" width="12.28125" style="290" customWidth="1"/>
    <col min="10" max="10" width="11.7109375" style="290" customWidth="1"/>
    <col min="11" max="11" width="13.140625" style="290" customWidth="1"/>
    <col min="12" max="12" width="12.28125" style="290" customWidth="1"/>
    <col min="13" max="13" width="7.57421875" style="245" hidden="1" customWidth="1"/>
    <col min="14" max="17" width="0" style="246" hidden="1" customWidth="1"/>
    <col min="18" max="16384" width="9.140625" style="246" customWidth="1"/>
  </cols>
  <sheetData>
    <row r="1" spans="9:11" ht="30.75" customHeight="1">
      <c r="I1" s="344"/>
      <c r="J1" s="345"/>
      <c r="K1" s="345"/>
    </row>
    <row r="2" spans="9:11" ht="6" customHeight="1">
      <c r="I2" s="248"/>
      <c r="J2" s="291"/>
      <c r="K2" s="291"/>
    </row>
    <row r="3" spans="1:12" ht="18">
      <c r="A3" s="346" t="s">
        <v>341</v>
      </c>
      <c r="B3" s="347"/>
      <c r="C3" s="347"/>
      <c r="D3" s="347"/>
      <c r="E3" s="347"/>
      <c r="F3" s="347"/>
      <c r="G3" s="347"/>
      <c r="H3" s="347"/>
      <c r="I3" s="348"/>
      <c r="J3" s="348"/>
      <c r="K3" s="348"/>
      <c r="L3" s="348"/>
    </row>
    <row r="4" spans="1:12" ht="18">
      <c r="A4" s="346" t="s">
        <v>342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</row>
    <row r="5" spans="1:13" s="252" customFormat="1" ht="21.75" customHeight="1">
      <c r="A5" s="249"/>
      <c r="B5" s="250" t="s">
        <v>343</v>
      </c>
      <c r="C5" s="292" t="s">
        <v>344</v>
      </c>
      <c r="D5" s="292" t="s">
        <v>345</v>
      </c>
      <c r="E5" s="350" t="s">
        <v>346</v>
      </c>
      <c r="F5" s="351"/>
      <c r="G5" s="325" t="s">
        <v>347</v>
      </c>
      <c r="H5" s="325"/>
      <c r="I5" s="325"/>
      <c r="J5" s="325"/>
      <c r="K5" s="325"/>
      <c r="L5" s="325"/>
      <c r="M5" s="251"/>
    </row>
    <row r="6" spans="1:13" s="252" customFormat="1" ht="21.75" customHeight="1">
      <c r="A6" s="253" t="s">
        <v>348</v>
      </c>
      <c r="B6" s="254" t="s">
        <v>349</v>
      </c>
      <c r="C6" s="293" t="s">
        <v>350</v>
      </c>
      <c r="D6" s="293" t="s">
        <v>350</v>
      </c>
      <c r="E6" s="292" t="s">
        <v>351</v>
      </c>
      <c r="F6" s="292" t="s">
        <v>352</v>
      </c>
      <c r="G6" s="325" t="s">
        <v>3</v>
      </c>
      <c r="H6" s="325"/>
      <c r="I6" s="325" t="s">
        <v>274</v>
      </c>
      <c r="J6" s="325"/>
      <c r="K6" s="325" t="s">
        <v>339</v>
      </c>
      <c r="L6" s="325"/>
      <c r="M6" s="251"/>
    </row>
    <row r="7" spans="1:13" s="252" customFormat="1" ht="25.5" customHeight="1">
      <c r="A7" s="255"/>
      <c r="B7" s="256"/>
      <c r="C7" s="257"/>
      <c r="D7" s="257"/>
      <c r="E7" s="257" t="s">
        <v>350</v>
      </c>
      <c r="F7" s="257" t="s">
        <v>353</v>
      </c>
      <c r="G7" s="258" t="s">
        <v>354</v>
      </c>
      <c r="H7" s="258" t="s">
        <v>355</v>
      </c>
      <c r="I7" s="258" t="s">
        <v>354</v>
      </c>
      <c r="J7" s="258" t="s">
        <v>355</v>
      </c>
      <c r="K7" s="258" t="s">
        <v>354</v>
      </c>
      <c r="L7" s="258" t="s">
        <v>355</v>
      </c>
      <c r="M7" s="251"/>
    </row>
    <row r="8" spans="1:12" ht="21" customHeight="1">
      <c r="A8" s="259"/>
      <c r="B8" s="254"/>
      <c r="C8" s="260">
        <f>SUM(C11:C30)</f>
        <v>86753</v>
      </c>
      <c r="D8" s="294"/>
      <c r="E8" s="295"/>
      <c r="F8" s="294"/>
      <c r="G8" s="296"/>
      <c r="H8" s="296"/>
      <c r="I8" s="296"/>
      <c r="J8" s="296"/>
      <c r="K8" s="296"/>
      <c r="L8" s="296"/>
    </row>
    <row r="9" spans="1:12" ht="55.5" customHeight="1">
      <c r="A9" s="261" t="s">
        <v>356</v>
      </c>
      <c r="B9" s="254" t="s">
        <v>357</v>
      </c>
      <c r="C9" s="295"/>
      <c r="D9" s="260">
        <f aca="true" t="shared" si="0" ref="D9:L9">SUM(D11:D30)</f>
        <v>103314</v>
      </c>
      <c r="E9" s="260">
        <f t="shared" si="0"/>
        <v>103212</v>
      </c>
      <c r="F9" s="260">
        <f t="shared" si="0"/>
        <v>103212</v>
      </c>
      <c r="G9" s="262">
        <f t="shared" si="0"/>
        <v>103212</v>
      </c>
      <c r="H9" s="262">
        <f t="shared" si="0"/>
        <v>103212</v>
      </c>
      <c r="I9" s="262">
        <f t="shared" si="0"/>
        <v>103212</v>
      </c>
      <c r="J9" s="262">
        <f t="shared" si="0"/>
        <v>103212</v>
      </c>
      <c r="K9" s="262">
        <f t="shared" si="0"/>
        <v>103212</v>
      </c>
      <c r="L9" s="262">
        <f t="shared" si="0"/>
        <v>103212</v>
      </c>
    </row>
    <row r="10" spans="1:12" ht="21" customHeight="1">
      <c r="A10" s="263" t="s">
        <v>358</v>
      </c>
      <c r="B10" s="264"/>
      <c r="C10" s="297"/>
      <c r="D10" s="297"/>
      <c r="E10" s="297"/>
      <c r="F10" s="297"/>
      <c r="G10" s="297"/>
      <c r="H10" s="297"/>
      <c r="I10" s="297"/>
      <c r="J10" s="297"/>
      <c r="K10" s="297"/>
      <c r="L10" s="297"/>
    </row>
    <row r="11" spans="1:12" ht="21" customHeight="1">
      <c r="A11" s="265" t="s">
        <v>359</v>
      </c>
      <c r="B11" s="264"/>
      <c r="C11" s="298">
        <v>3638</v>
      </c>
      <c r="D11" s="298">
        <v>3863</v>
      </c>
      <c r="E11" s="298">
        <v>3919</v>
      </c>
      <c r="F11" s="298">
        <v>3919</v>
      </c>
      <c r="G11" s="298">
        <v>3919</v>
      </c>
      <c r="H11" s="298">
        <v>3919</v>
      </c>
      <c r="I11" s="298">
        <v>3919</v>
      </c>
      <c r="J11" s="298">
        <v>3919</v>
      </c>
      <c r="K11" s="298">
        <v>3919</v>
      </c>
      <c r="L11" s="298">
        <v>3919</v>
      </c>
    </row>
    <row r="12" spans="1:12" ht="21" customHeight="1">
      <c r="A12" s="265" t="s">
        <v>360</v>
      </c>
      <c r="B12" s="264"/>
      <c r="C12" s="298">
        <v>4826</v>
      </c>
      <c r="D12" s="298">
        <v>5850</v>
      </c>
      <c r="E12" s="298">
        <v>5762</v>
      </c>
      <c r="F12" s="298">
        <v>5762</v>
      </c>
      <c r="G12" s="298">
        <v>5762</v>
      </c>
      <c r="H12" s="298">
        <v>5762</v>
      </c>
      <c r="I12" s="298">
        <v>5762</v>
      </c>
      <c r="J12" s="298">
        <v>5762</v>
      </c>
      <c r="K12" s="298">
        <v>5762</v>
      </c>
      <c r="L12" s="298">
        <v>5762</v>
      </c>
    </row>
    <row r="13" spans="1:12" ht="21" customHeight="1">
      <c r="A13" s="265" t="s">
        <v>361</v>
      </c>
      <c r="B13" s="264"/>
      <c r="C13" s="298">
        <v>6622</v>
      </c>
      <c r="D13" s="298">
        <v>7747</v>
      </c>
      <c r="E13" s="298">
        <v>7998</v>
      </c>
      <c r="F13" s="298">
        <v>7998</v>
      </c>
      <c r="G13" s="298">
        <v>7998</v>
      </c>
      <c r="H13" s="298">
        <v>7998</v>
      </c>
      <c r="I13" s="298">
        <v>7998</v>
      </c>
      <c r="J13" s="298">
        <v>7998</v>
      </c>
      <c r="K13" s="298">
        <v>7998</v>
      </c>
      <c r="L13" s="298">
        <v>7998</v>
      </c>
    </row>
    <row r="14" spans="1:12" ht="21" customHeight="1">
      <c r="A14" s="265" t="s">
        <v>362</v>
      </c>
      <c r="B14" s="264"/>
      <c r="C14" s="298">
        <v>1354</v>
      </c>
      <c r="D14" s="298">
        <v>1641</v>
      </c>
      <c r="E14" s="298">
        <v>1595</v>
      </c>
      <c r="F14" s="298">
        <v>1595</v>
      </c>
      <c r="G14" s="298">
        <v>1595</v>
      </c>
      <c r="H14" s="298">
        <v>1595</v>
      </c>
      <c r="I14" s="298">
        <v>1595</v>
      </c>
      <c r="J14" s="298">
        <v>1595</v>
      </c>
      <c r="K14" s="298">
        <v>1595</v>
      </c>
      <c r="L14" s="298">
        <v>1595</v>
      </c>
    </row>
    <row r="15" spans="1:12" ht="21" customHeight="1">
      <c r="A15" s="265" t="s">
        <v>363</v>
      </c>
      <c r="B15" s="264"/>
      <c r="C15" s="298">
        <v>6722</v>
      </c>
      <c r="D15" s="298">
        <v>10254</v>
      </c>
      <c r="E15" s="298">
        <v>10243</v>
      </c>
      <c r="F15" s="298">
        <v>10243</v>
      </c>
      <c r="G15" s="298">
        <v>10243</v>
      </c>
      <c r="H15" s="298">
        <v>10243</v>
      </c>
      <c r="I15" s="298">
        <v>10243</v>
      </c>
      <c r="J15" s="298">
        <v>10243</v>
      </c>
      <c r="K15" s="298">
        <v>10243</v>
      </c>
      <c r="L15" s="298">
        <v>10243</v>
      </c>
    </row>
    <row r="16" spans="1:12" ht="21" customHeight="1">
      <c r="A16" s="265" t="s">
        <v>364</v>
      </c>
      <c r="B16" s="264"/>
      <c r="C16" s="298">
        <v>1104</v>
      </c>
      <c r="D16" s="298">
        <v>1318</v>
      </c>
      <c r="E16" s="298">
        <v>1330</v>
      </c>
      <c r="F16" s="298">
        <v>1330</v>
      </c>
      <c r="G16" s="298">
        <v>1330</v>
      </c>
      <c r="H16" s="298">
        <v>1330</v>
      </c>
      <c r="I16" s="298">
        <v>1330</v>
      </c>
      <c r="J16" s="298">
        <v>1330</v>
      </c>
      <c r="K16" s="298">
        <v>1330</v>
      </c>
      <c r="L16" s="298">
        <v>1330</v>
      </c>
    </row>
    <row r="17" spans="1:12" ht="21" customHeight="1">
      <c r="A17" s="265" t="s">
        <v>365</v>
      </c>
      <c r="B17" s="264"/>
      <c r="C17" s="298">
        <v>7427</v>
      </c>
      <c r="D17" s="298">
        <v>9031</v>
      </c>
      <c r="E17" s="298">
        <v>8956</v>
      </c>
      <c r="F17" s="298">
        <v>8956</v>
      </c>
      <c r="G17" s="298">
        <v>8956</v>
      </c>
      <c r="H17" s="298">
        <v>8956</v>
      </c>
      <c r="I17" s="298">
        <v>8956</v>
      </c>
      <c r="J17" s="298">
        <v>8956</v>
      </c>
      <c r="K17" s="298">
        <v>8956</v>
      </c>
      <c r="L17" s="298">
        <v>8956</v>
      </c>
    </row>
    <row r="18" spans="1:12" ht="21" customHeight="1">
      <c r="A18" s="265" t="s">
        <v>366</v>
      </c>
      <c r="B18" s="264"/>
      <c r="C18" s="298">
        <v>9187</v>
      </c>
      <c r="D18" s="298">
        <v>10435</v>
      </c>
      <c r="E18" s="298">
        <v>10525</v>
      </c>
      <c r="F18" s="298">
        <v>10525</v>
      </c>
      <c r="G18" s="298">
        <v>10525</v>
      </c>
      <c r="H18" s="298">
        <v>10525</v>
      </c>
      <c r="I18" s="298">
        <v>10525</v>
      </c>
      <c r="J18" s="298">
        <v>10525</v>
      </c>
      <c r="K18" s="298">
        <v>10525</v>
      </c>
      <c r="L18" s="298">
        <v>10525</v>
      </c>
    </row>
    <row r="19" spans="1:12" ht="21" customHeight="1">
      <c r="A19" s="265" t="s">
        <v>367</v>
      </c>
      <c r="B19" s="264"/>
      <c r="C19" s="298">
        <v>4205</v>
      </c>
      <c r="D19" s="298">
        <v>5059</v>
      </c>
      <c r="E19" s="298">
        <v>4990</v>
      </c>
      <c r="F19" s="298">
        <v>4990</v>
      </c>
      <c r="G19" s="298">
        <v>4990</v>
      </c>
      <c r="H19" s="298">
        <v>4990</v>
      </c>
      <c r="I19" s="298">
        <v>4990</v>
      </c>
      <c r="J19" s="298">
        <v>4990</v>
      </c>
      <c r="K19" s="298">
        <v>4990</v>
      </c>
      <c r="L19" s="298">
        <v>4990</v>
      </c>
    </row>
    <row r="20" spans="1:12" ht="21" customHeight="1">
      <c r="A20" s="265" t="s">
        <v>368</v>
      </c>
      <c r="B20" s="264"/>
      <c r="C20" s="298">
        <v>2231</v>
      </c>
      <c r="D20" s="298">
        <v>2897</v>
      </c>
      <c r="E20" s="298">
        <v>2827</v>
      </c>
      <c r="F20" s="298">
        <v>2827</v>
      </c>
      <c r="G20" s="298">
        <v>2827</v>
      </c>
      <c r="H20" s="298">
        <v>2827</v>
      </c>
      <c r="I20" s="298">
        <v>2827</v>
      </c>
      <c r="J20" s="298">
        <v>2827</v>
      </c>
      <c r="K20" s="298">
        <v>2827</v>
      </c>
      <c r="L20" s="298">
        <v>2827</v>
      </c>
    </row>
    <row r="21" spans="1:12" ht="21" customHeight="1">
      <c r="A21" s="265" t="s">
        <v>369</v>
      </c>
      <c r="B21" s="264"/>
      <c r="C21" s="298">
        <v>1514</v>
      </c>
      <c r="D21" s="298">
        <v>1645</v>
      </c>
      <c r="E21" s="298">
        <v>1615</v>
      </c>
      <c r="F21" s="298">
        <v>1615</v>
      </c>
      <c r="G21" s="298">
        <v>1615</v>
      </c>
      <c r="H21" s="298">
        <v>1615</v>
      </c>
      <c r="I21" s="298">
        <v>1615</v>
      </c>
      <c r="J21" s="298">
        <v>1615</v>
      </c>
      <c r="K21" s="298">
        <v>1615</v>
      </c>
      <c r="L21" s="298">
        <v>1615</v>
      </c>
    </row>
    <row r="22" spans="1:12" ht="21" customHeight="1">
      <c r="A22" s="265" t="s">
        <v>370</v>
      </c>
      <c r="B22" s="264"/>
      <c r="C22" s="298">
        <v>2303</v>
      </c>
      <c r="D22" s="298">
        <v>2501</v>
      </c>
      <c r="E22" s="298">
        <v>2462</v>
      </c>
      <c r="F22" s="298">
        <v>2462</v>
      </c>
      <c r="G22" s="298">
        <v>2462</v>
      </c>
      <c r="H22" s="298">
        <v>2462</v>
      </c>
      <c r="I22" s="298">
        <v>2462</v>
      </c>
      <c r="J22" s="298">
        <v>2462</v>
      </c>
      <c r="K22" s="298">
        <v>2462</v>
      </c>
      <c r="L22" s="298">
        <v>2462</v>
      </c>
    </row>
    <row r="23" spans="1:12" ht="21" customHeight="1">
      <c r="A23" s="265" t="s">
        <v>371</v>
      </c>
      <c r="B23" s="264"/>
      <c r="C23" s="298">
        <v>4471</v>
      </c>
      <c r="D23" s="298">
        <v>5399</v>
      </c>
      <c r="E23" s="298">
        <v>5320</v>
      </c>
      <c r="F23" s="298">
        <v>5320</v>
      </c>
      <c r="G23" s="298">
        <v>5320</v>
      </c>
      <c r="H23" s="298">
        <v>5320</v>
      </c>
      <c r="I23" s="298">
        <v>5320</v>
      </c>
      <c r="J23" s="298">
        <v>5320</v>
      </c>
      <c r="K23" s="298">
        <v>5320</v>
      </c>
      <c r="L23" s="298">
        <v>5320</v>
      </c>
    </row>
    <row r="24" spans="1:12" ht="21" customHeight="1">
      <c r="A24" s="265" t="s">
        <v>372</v>
      </c>
      <c r="B24" s="264"/>
      <c r="C24" s="298">
        <v>1576</v>
      </c>
      <c r="D24" s="298">
        <v>1674</v>
      </c>
      <c r="E24" s="298">
        <v>1705</v>
      </c>
      <c r="F24" s="298">
        <v>1705</v>
      </c>
      <c r="G24" s="298">
        <v>1705</v>
      </c>
      <c r="H24" s="298">
        <v>1705</v>
      </c>
      <c r="I24" s="298">
        <v>1705</v>
      </c>
      <c r="J24" s="298">
        <v>1705</v>
      </c>
      <c r="K24" s="298">
        <v>1705</v>
      </c>
      <c r="L24" s="298">
        <v>1705</v>
      </c>
    </row>
    <row r="25" spans="1:12" ht="21" customHeight="1">
      <c r="A25" s="265" t="s">
        <v>373</v>
      </c>
      <c r="B25" s="264"/>
      <c r="C25" s="298">
        <f>7684+1336</f>
        <v>9020</v>
      </c>
      <c r="D25" s="298">
        <v>10436</v>
      </c>
      <c r="E25" s="298">
        <v>10331</v>
      </c>
      <c r="F25" s="298">
        <v>10331</v>
      </c>
      <c r="G25" s="298">
        <v>10331</v>
      </c>
      <c r="H25" s="298">
        <v>10331</v>
      </c>
      <c r="I25" s="298">
        <v>10331</v>
      </c>
      <c r="J25" s="298">
        <v>10331</v>
      </c>
      <c r="K25" s="298">
        <v>10331</v>
      </c>
      <c r="L25" s="298">
        <v>10331</v>
      </c>
    </row>
    <row r="26" spans="1:12" ht="21" customHeight="1">
      <c r="A26" s="265" t="s">
        <v>374</v>
      </c>
      <c r="B26" s="264"/>
      <c r="C26" s="298">
        <v>5262</v>
      </c>
      <c r="D26" s="298">
        <v>6153</v>
      </c>
      <c r="E26" s="298">
        <v>6114</v>
      </c>
      <c r="F26" s="298">
        <v>6114</v>
      </c>
      <c r="G26" s="298">
        <v>6114</v>
      </c>
      <c r="H26" s="298">
        <v>6114</v>
      </c>
      <c r="I26" s="298">
        <v>6114</v>
      </c>
      <c r="J26" s="298">
        <v>6114</v>
      </c>
      <c r="K26" s="298">
        <v>6114</v>
      </c>
      <c r="L26" s="298">
        <v>6114</v>
      </c>
    </row>
    <row r="27" spans="1:12" ht="21" customHeight="1">
      <c r="A27" s="265" t="s">
        <v>375</v>
      </c>
      <c r="B27" s="264"/>
      <c r="C27" s="298">
        <v>3026</v>
      </c>
      <c r="D27" s="298">
        <v>3655</v>
      </c>
      <c r="E27" s="298">
        <v>4022</v>
      </c>
      <c r="F27" s="298">
        <v>4022</v>
      </c>
      <c r="G27" s="298">
        <v>4022</v>
      </c>
      <c r="H27" s="298">
        <v>4022</v>
      </c>
      <c r="I27" s="298">
        <v>4022</v>
      </c>
      <c r="J27" s="298">
        <v>4022</v>
      </c>
      <c r="K27" s="298">
        <v>4022</v>
      </c>
      <c r="L27" s="298">
        <v>4022</v>
      </c>
    </row>
    <row r="28" spans="1:12" ht="21" customHeight="1">
      <c r="A28" s="265" t="s">
        <v>376</v>
      </c>
      <c r="B28" s="264"/>
      <c r="C28" s="298">
        <v>1074</v>
      </c>
      <c r="D28" s="298">
        <v>1311</v>
      </c>
      <c r="E28" s="298">
        <v>1313</v>
      </c>
      <c r="F28" s="298">
        <v>1313</v>
      </c>
      <c r="G28" s="298">
        <v>1313</v>
      </c>
      <c r="H28" s="298">
        <v>1313</v>
      </c>
      <c r="I28" s="298">
        <v>1313</v>
      </c>
      <c r="J28" s="298">
        <v>1313</v>
      </c>
      <c r="K28" s="298">
        <v>1313</v>
      </c>
      <c r="L28" s="298">
        <v>1313</v>
      </c>
    </row>
    <row r="29" spans="1:12" ht="21" customHeight="1">
      <c r="A29" s="265" t="s">
        <v>377</v>
      </c>
      <c r="B29" s="264"/>
      <c r="C29" s="298">
        <v>8839</v>
      </c>
      <c r="D29" s="298">
        <v>9761</v>
      </c>
      <c r="E29" s="298">
        <v>9573</v>
      </c>
      <c r="F29" s="298">
        <v>9573</v>
      </c>
      <c r="G29" s="298">
        <v>9573</v>
      </c>
      <c r="H29" s="298">
        <v>9573</v>
      </c>
      <c r="I29" s="298">
        <v>9573</v>
      </c>
      <c r="J29" s="298">
        <v>9573</v>
      </c>
      <c r="K29" s="298">
        <v>9573</v>
      </c>
      <c r="L29" s="298">
        <v>9573</v>
      </c>
    </row>
    <row r="30" spans="1:12" ht="21" customHeight="1">
      <c r="A30" s="265" t="s">
        <v>378</v>
      </c>
      <c r="B30" s="264"/>
      <c r="C30" s="298">
        <v>2352</v>
      </c>
      <c r="D30" s="298">
        <v>2684</v>
      </c>
      <c r="E30" s="298">
        <v>2612</v>
      </c>
      <c r="F30" s="298">
        <v>2612</v>
      </c>
      <c r="G30" s="298">
        <v>2612</v>
      </c>
      <c r="H30" s="298">
        <v>2612</v>
      </c>
      <c r="I30" s="298">
        <v>2612</v>
      </c>
      <c r="J30" s="298">
        <v>2612</v>
      </c>
      <c r="K30" s="298">
        <v>2612</v>
      </c>
      <c r="L30" s="298">
        <v>2612</v>
      </c>
    </row>
    <row r="31" spans="1:12" ht="57" customHeight="1">
      <c r="A31" s="261" t="s">
        <v>379</v>
      </c>
      <c r="B31" s="264" t="s">
        <v>357</v>
      </c>
      <c r="C31" s="299">
        <f>SUM(C33:C52)</f>
        <v>21615</v>
      </c>
      <c r="D31" s="299">
        <f>SUM(D33:D52)</f>
        <v>20377</v>
      </c>
      <c r="E31" s="299">
        <f>SUM(E33:E52)</f>
        <v>20263</v>
      </c>
      <c r="F31" s="300">
        <f>SUM(F33:F52)</f>
        <v>20356</v>
      </c>
      <c r="G31" s="300">
        <f aca="true" t="shared" si="1" ref="G31:L31">SUM(G33:G52)</f>
        <v>20335</v>
      </c>
      <c r="H31" s="300">
        <f t="shared" si="1"/>
        <v>20335</v>
      </c>
      <c r="I31" s="300">
        <f t="shared" si="1"/>
        <v>20323</v>
      </c>
      <c r="J31" s="300">
        <f t="shared" si="1"/>
        <v>20323</v>
      </c>
      <c r="K31" s="300">
        <f t="shared" si="1"/>
        <v>20314</v>
      </c>
      <c r="L31" s="300">
        <f t="shared" si="1"/>
        <v>20314</v>
      </c>
    </row>
    <row r="32" spans="1:12" ht="21" customHeight="1">
      <c r="A32" s="263" t="s">
        <v>358</v>
      </c>
      <c r="B32" s="264"/>
      <c r="C32" s="301"/>
      <c r="D32" s="301"/>
      <c r="E32" s="301"/>
      <c r="F32" s="301"/>
      <c r="G32" s="302"/>
      <c r="H32" s="301"/>
      <c r="I32" s="301"/>
      <c r="J32" s="301"/>
      <c r="K32" s="301"/>
      <c r="L32" s="301"/>
    </row>
    <row r="33" spans="1:12" ht="21" customHeight="1">
      <c r="A33" s="265" t="s">
        <v>359</v>
      </c>
      <c r="B33" s="264"/>
      <c r="C33" s="301">
        <v>938</v>
      </c>
      <c r="D33" s="301">
        <v>804</v>
      </c>
      <c r="E33" s="301">
        <v>783</v>
      </c>
      <c r="F33" s="297">
        <f>SUM(D33*0.998936)</f>
        <v>803</v>
      </c>
      <c r="G33" s="303">
        <f>SUM(F33*0.998935)</f>
        <v>802</v>
      </c>
      <c r="H33" s="297">
        <f>SUM(F33*0.998935)</f>
        <v>802</v>
      </c>
      <c r="I33" s="297">
        <f>SUM(G33*0.999353)</f>
        <v>801</v>
      </c>
      <c r="J33" s="297">
        <f>SUM(H33*0.999353)</f>
        <v>801</v>
      </c>
      <c r="K33" s="297">
        <f>SUM(I33*0.999505)</f>
        <v>801</v>
      </c>
      <c r="L33" s="297">
        <f>SUM(J33*0.999505)</f>
        <v>801</v>
      </c>
    </row>
    <row r="34" spans="1:12" ht="21" customHeight="1">
      <c r="A34" s="265" t="s">
        <v>360</v>
      </c>
      <c r="B34" s="264"/>
      <c r="C34" s="301">
        <v>1265</v>
      </c>
      <c r="D34" s="301">
        <v>1304</v>
      </c>
      <c r="E34" s="301">
        <v>1293</v>
      </c>
      <c r="F34" s="297">
        <f aca="true" t="shared" si="2" ref="F34:F52">SUM(D34*0.998936)</f>
        <v>1303</v>
      </c>
      <c r="G34" s="303">
        <f aca="true" t="shared" si="3" ref="G34:G52">SUM(F34*0.998935)</f>
        <v>1302</v>
      </c>
      <c r="H34" s="297">
        <f aca="true" t="shared" si="4" ref="H34:H52">SUM(F34*0.998935)</f>
        <v>1302</v>
      </c>
      <c r="I34" s="297">
        <f aca="true" t="shared" si="5" ref="I34:J52">SUM(G34*0.999353)</f>
        <v>1301</v>
      </c>
      <c r="J34" s="297">
        <f t="shared" si="5"/>
        <v>1301</v>
      </c>
      <c r="K34" s="297">
        <f aca="true" t="shared" si="6" ref="K34:L52">SUM(I34*0.999505)</f>
        <v>1300</v>
      </c>
      <c r="L34" s="297">
        <f t="shared" si="6"/>
        <v>1300</v>
      </c>
    </row>
    <row r="35" spans="1:12" ht="21" customHeight="1">
      <c r="A35" s="265" t="s">
        <v>361</v>
      </c>
      <c r="B35" s="264"/>
      <c r="C35" s="301">
        <v>1538</v>
      </c>
      <c r="D35" s="301">
        <v>1561</v>
      </c>
      <c r="E35" s="301">
        <v>1601</v>
      </c>
      <c r="F35" s="297">
        <f t="shared" si="2"/>
        <v>1559</v>
      </c>
      <c r="G35" s="303">
        <f t="shared" si="3"/>
        <v>1557</v>
      </c>
      <c r="H35" s="297">
        <f t="shared" si="4"/>
        <v>1557</v>
      </c>
      <c r="I35" s="297">
        <f t="shared" si="5"/>
        <v>1556</v>
      </c>
      <c r="J35" s="297">
        <f t="shared" si="5"/>
        <v>1556</v>
      </c>
      <c r="K35" s="297">
        <f t="shared" si="6"/>
        <v>1555</v>
      </c>
      <c r="L35" s="297">
        <f t="shared" si="6"/>
        <v>1555</v>
      </c>
    </row>
    <row r="36" spans="1:12" ht="21" customHeight="1">
      <c r="A36" s="265" t="s">
        <v>362</v>
      </c>
      <c r="B36" s="264"/>
      <c r="C36" s="301">
        <v>194</v>
      </c>
      <c r="D36" s="301">
        <v>185</v>
      </c>
      <c r="E36" s="301">
        <v>191</v>
      </c>
      <c r="F36" s="297">
        <f t="shared" si="2"/>
        <v>185</v>
      </c>
      <c r="G36" s="303">
        <f t="shared" si="3"/>
        <v>185</v>
      </c>
      <c r="H36" s="297">
        <f t="shared" si="4"/>
        <v>185</v>
      </c>
      <c r="I36" s="297">
        <f t="shared" si="5"/>
        <v>185</v>
      </c>
      <c r="J36" s="297">
        <f t="shared" si="5"/>
        <v>185</v>
      </c>
      <c r="K36" s="297">
        <f t="shared" si="6"/>
        <v>185</v>
      </c>
      <c r="L36" s="297">
        <f t="shared" si="6"/>
        <v>185</v>
      </c>
    </row>
    <row r="37" spans="1:12" ht="21" customHeight="1">
      <c r="A37" s="265" t="s">
        <v>363</v>
      </c>
      <c r="B37" s="264"/>
      <c r="C37" s="301">
        <v>1973</v>
      </c>
      <c r="D37" s="301">
        <v>2054</v>
      </c>
      <c r="E37" s="301">
        <v>2019</v>
      </c>
      <c r="F37" s="297">
        <f t="shared" si="2"/>
        <v>2052</v>
      </c>
      <c r="G37" s="303">
        <f t="shared" si="3"/>
        <v>2050</v>
      </c>
      <c r="H37" s="297">
        <f t="shared" si="4"/>
        <v>2050</v>
      </c>
      <c r="I37" s="297">
        <f t="shared" si="5"/>
        <v>2049</v>
      </c>
      <c r="J37" s="297">
        <f t="shared" si="5"/>
        <v>2049</v>
      </c>
      <c r="K37" s="297">
        <f t="shared" si="6"/>
        <v>2048</v>
      </c>
      <c r="L37" s="297">
        <f t="shared" si="6"/>
        <v>2048</v>
      </c>
    </row>
    <row r="38" spans="1:12" ht="21" customHeight="1">
      <c r="A38" s="265" t="s">
        <v>364</v>
      </c>
      <c r="B38" s="264"/>
      <c r="C38" s="301">
        <v>231</v>
      </c>
      <c r="D38" s="301">
        <v>237</v>
      </c>
      <c r="E38" s="301">
        <v>233</v>
      </c>
      <c r="F38" s="297">
        <f t="shared" si="2"/>
        <v>237</v>
      </c>
      <c r="G38" s="303">
        <f t="shared" si="3"/>
        <v>237</v>
      </c>
      <c r="H38" s="297">
        <f t="shared" si="4"/>
        <v>237</v>
      </c>
      <c r="I38" s="297">
        <f t="shared" si="5"/>
        <v>237</v>
      </c>
      <c r="J38" s="297">
        <f t="shared" si="5"/>
        <v>237</v>
      </c>
      <c r="K38" s="297">
        <f t="shared" si="6"/>
        <v>237</v>
      </c>
      <c r="L38" s="297">
        <f t="shared" si="6"/>
        <v>237</v>
      </c>
    </row>
    <row r="39" spans="1:12" ht="21" customHeight="1">
      <c r="A39" s="265" t="s">
        <v>365</v>
      </c>
      <c r="B39" s="264"/>
      <c r="C39" s="301">
        <v>1791</v>
      </c>
      <c r="D39" s="301">
        <v>1657</v>
      </c>
      <c r="E39" s="301">
        <v>1707</v>
      </c>
      <c r="F39" s="297">
        <f t="shared" si="2"/>
        <v>1655</v>
      </c>
      <c r="G39" s="303">
        <f t="shared" si="3"/>
        <v>1653</v>
      </c>
      <c r="H39" s="297">
        <f t="shared" si="4"/>
        <v>1653</v>
      </c>
      <c r="I39" s="297">
        <f t="shared" si="5"/>
        <v>1652</v>
      </c>
      <c r="J39" s="297">
        <f t="shared" si="5"/>
        <v>1652</v>
      </c>
      <c r="K39" s="297">
        <f t="shared" si="6"/>
        <v>1651</v>
      </c>
      <c r="L39" s="297">
        <f t="shared" si="6"/>
        <v>1651</v>
      </c>
    </row>
    <row r="40" spans="1:12" ht="21" customHeight="1">
      <c r="A40" s="265" t="s">
        <v>366</v>
      </c>
      <c r="B40" s="264"/>
      <c r="C40" s="301">
        <v>2433</v>
      </c>
      <c r="D40" s="301">
        <v>1829</v>
      </c>
      <c r="E40" s="301">
        <v>1794</v>
      </c>
      <c r="F40" s="297">
        <f t="shared" si="2"/>
        <v>1827</v>
      </c>
      <c r="G40" s="303">
        <f t="shared" si="3"/>
        <v>1825</v>
      </c>
      <c r="H40" s="297">
        <f t="shared" si="4"/>
        <v>1825</v>
      </c>
      <c r="I40" s="297">
        <f t="shared" si="5"/>
        <v>1824</v>
      </c>
      <c r="J40" s="297">
        <f t="shared" si="5"/>
        <v>1824</v>
      </c>
      <c r="K40" s="297">
        <f t="shared" si="6"/>
        <v>1823</v>
      </c>
      <c r="L40" s="297">
        <f t="shared" si="6"/>
        <v>1823</v>
      </c>
    </row>
    <row r="41" spans="1:12" ht="21" customHeight="1">
      <c r="A41" s="265" t="s">
        <v>367</v>
      </c>
      <c r="B41" s="264"/>
      <c r="C41" s="301">
        <v>1092</v>
      </c>
      <c r="D41" s="301">
        <v>1191</v>
      </c>
      <c r="E41" s="301">
        <v>1214</v>
      </c>
      <c r="F41" s="297">
        <f t="shared" si="2"/>
        <v>1190</v>
      </c>
      <c r="G41" s="303">
        <f t="shared" si="3"/>
        <v>1189</v>
      </c>
      <c r="H41" s="297">
        <f t="shared" si="4"/>
        <v>1189</v>
      </c>
      <c r="I41" s="297">
        <f t="shared" si="5"/>
        <v>1188</v>
      </c>
      <c r="J41" s="297">
        <f t="shared" si="5"/>
        <v>1188</v>
      </c>
      <c r="K41" s="297">
        <f t="shared" si="6"/>
        <v>1187</v>
      </c>
      <c r="L41" s="297">
        <f t="shared" si="6"/>
        <v>1187</v>
      </c>
    </row>
    <row r="42" spans="1:12" ht="21" customHeight="1">
      <c r="A42" s="265" t="s">
        <v>368</v>
      </c>
      <c r="B42" s="264"/>
      <c r="C42" s="301">
        <v>538</v>
      </c>
      <c r="D42" s="301">
        <v>594</v>
      </c>
      <c r="E42" s="301">
        <v>589</v>
      </c>
      <c r="F42" s="297">
        <f t="shared" si="2"/>
        <v>593</v>
      </c>
      <c r="G42" s="303">
        <f t="shared" si="3"/>
        <v>592</v>
      </c>
      <c r="H42" s="297">
        <f t="shared" si="4"/>
        <v>592</v>
      </c>
      <c r="I42" s="297">
        <f t="shared" si="5"/>
        <v>592</v>
      </c>
      <c r="J42" s="297">
        <f t="shared" si="5"/>
        <v>592</v>
      </c>
      <c r="K42" s="297">
        <f t="shared" si="6"/>
        <v>592</v>
      </c>
      <c r="L42" s="297">
        <f t="shared" si="6"/>
        <v>592</v>
      </c>
    </row>
    <row r="43" spans="1:12" ht="21" customHeight="1">
      <c r="A43" s="265" t="s">
        <v>369</v>
      </c>
      <c r="B43" s="264"/>
      <c r="C43" s="301">
        <v>167</v>
      </c>
      <c r="D43" s="301">
        <v>252</v>
      </c>
      <c r="E43" s="301">
        <v>264</v>
      </c>
      <c r="F43" s="297">
        <f t="shared" si="2"/>
        <v>252</v>
      </c>
      <c r="G43" s="303">
        <f t="shared" si="3"/>
        <v>252</v>
      </c>
      <c r="H43" s="297">
        <f t="shared" si="4"/>
        <v>252</v>
      </c>
      <c r="I43" s="297">
        <f t="shared" si="5"/>
        <v>252</v>
      </c>
      <c r="J43" s="297">
        <f t="shared" si="5"/>
        <v>252</v>
      </c>
      <c r="K43" s="297">
        <f t="shared" si="6"/>
        <v>252</v>
      </c>
      <c r="L43" s="297">
        <f t="shared" si="6"/>
        <v>252</v>
      </c>
    </row>
    <row r="44" spans="1:12" ht="21" customHeight="1">
      <c r="A44" s="265" t="s">
        <v>370</v>
      </c>
      <c r="B44" s="264"/>
      <c r="C44" s="301">
        <v>561</v>
      </c>
      <c r="D44" s="301">
        <v>555</v>
      </c>
      <c r="E44" s="301">
        <v>558</v>
      </c>
      <c r="F44" s="297">
        <f t="shared" si="2"/>
        <v>554</v>
      </c>
      <c r="G44" s="303">
        <f t="shared" si="3"/>
        <v>553</v>
      </c>
      <c r="H44" s="297">
        <f t="shared" si="4"/>
        <v>553</v>
      </c>
      <c r="I44" s="297">
        <f t="shared" si="5"/>
        <v>553</v>
      </c>
      <c r="J44" s="297">
        <f t="shared" si="5"/>
        <v>553</v>
      </c>
      <c r="K44" s="297">
        <f t="shared" si="6"/>
        <v>553</v>
      </c>
      <c r="L44" s="297">
        <f t="shared" si="6"/>
        <v>553</v>
      </c>
    </row>
    <row r="45" spans="1:12" ht="21" customHeight="1">
      <c r="A45" s="265" t="s">
        <v>371</v>
      </c>
      <c r="B45" s="264"/>
      <c r="C45" s="301">
        <v>1123</v>
      </c>
      <c r="D45" s="301">
        <v>1194</v>
      </c>
      <c r="E45" s="301">
        <v>1186</v>
      </c>
      <c r="F45" s="297">
        <f t="shared" si="2"/>
        <v>1193</v>
      </c>
      <c r="G45" s="303">
        <f t="shared" si="3"/>
        <v>1192</v>
      </c>
      <c r="H45" s="297">
        <f t="shared" si="4"/>
        <v>1192</v>
      </c>
      <c r="I45" s="297">
        <f t="shared" si="5"/>
        <v>1191</v>
      </c>
      <c r="J45" s="297">
        <f t="shared" si="5"/>
        <v>1191</v>
      </c>
      <c r="K45" s="297">
        <f t="shared" si="6"/>
        <v>1190</v>
      </c>
      <c r="L45" s="297">
        <f t="shared" si="6"/>
        <v>1190</v>
      </c>
    </row>
    <row r="46" spans="1:12" ht="21" customHeight="1">
      <c r="A46" s="265" t="s">
        <v>372</v>
      </c>
      <c r="B46" s="264"/>
      <c r="C46" s="301">
        <v>311</v>
      </c>
      <c r="D46" s="301">
        <v>343</v>
      </c>
      <c r="E46" s="301">
        <v>339</v>
      </c>
      <c r="F46" s="297">
        <f t="shared" si="2"/>
        <v>343</v>
      </c>
      <c r="G46" s="303">
        <f t="shared" si="3"/>
        <v>343</v>
      </c>
      <c r="H46" s="297">
        <f t="shared" si="4"/>
        <v>343</v>
      </c>
      <c r="I46" s="297">
        <f t="shared" si="5"/>
        <v>343</v>
      </c>
      <c r="J46" s="297">
        <f t="shared" si="5"/>
        <v>343</v>
      </c>
      <c r="K46" s="297">
        <f t="shared" si="6"/>
        <v>343</v>
      </c>
      <c r="L46" s="297">
        <f t="shared" si="6"/>
        <v>343</v>
      </c>
    </row>
    <row r="47" spans="1:12" ht="21" customHeight="1">
      <c r="A47" s="265" t="s">
        <v>373</v>
      </c>
      <c r="B47" s="264"/>
      <c r="C47" s="301">
        <v>2280</v>
      </c>
      <c r="D47" s="301">
        <f>1965+289</f>
        <v>2254</v>
      </c>
      <c r="E47" s="301">
        <f>1983+276</f>
        <v>2259</v>
      </c>
      <c r="F47" s="297">
        <f t="shared" si="2"/>
        <v>2252</v>
      </c>
      <c r="G47" s="303">
        <f t="shared" si="3"/>
        <v>2250</v>
      </c>
      <c r="H47" s="297">
        <f t="shared" si="4"/>
        <v>2250</v>
      </c>
      <c r="I47" s="297">
        <f t="shared" si="5"/>
        <v>2249</v>
      </c>
      <c r="J47" s="297">
        <f t="shared" si="5"/>
        <v>2249</v>
      </c>
      <c r="K47" s="297">
        <f t="shared" si="6"/>
        <v>2248</v>
      </c>
      <c r="L47" s="297">
        <f t="shared" si="6"/>
        <v>2248</v>
      </c>
    </row>
    <row r="48" spans="1:12" ht="21" customHeight="1">
      <c r="A48" s="265" t="s">
        <v>374</v>
      </c>
      <c r="B48" s="264"/>
      <c r="C48" s="301">
        <v>1121</v>
      </c>
      <c r="D48" s="301">
        <v>811</v>
      </c>
      <c r="E48" s="301">
        <v>821</v>
      </c>
      <c r="F48" s="297">
        <f t="shared" si="2"/>
        <v>810</v>
      </c>
      <c r="G48" s="303">
        <f t="shared" si="3"/>
        <v>809</v>
      </c>
      <c r="H48" s="297">
        <f t="shared" si="4"/>
        <v>809</v>
      </c>
      <c r="I48" s="297">
        <f t="shared" si="5"/>
        <v>808</v>
      </c>
      <c r="J48" s="297">
        <f t="shared" si="5"/>
        <v>808</v>
      </c>
      <c r="K48" s="297">
        <f t="shared" si="6"/>
        <v>808</v>
      </c>
      <c r="L48" s="297">
        <f t="shared" si="6"/>
        <v>808</v>
      </c>
    </row>
    <row r="49" spans="1:12" ht="21" customHeight="1">
      <c r="A49" s="265" t="s">
        <v>375</v>
      </c>
      <c r="B49" s="264"/>
      <c r="C49" s="301">
        <v>838</v>
      </c>
      <c r="D49" s="301">
        <v>901</v>
      </c>
      <c r="E49" s="301">
        <v>894</v>
      </c>
      <c r="F49" s="297">
        <f t="shared" si="2"/>
        <v>900</v>
      </c>
      <c r="G49" s="303">
        <f t="shared" si="3"/>
        <v>899</v>
      </c>
      <c r="H49" s="297">
        <f t="shared" si="4"/>
        <v>899</v>
      </c>
      <c r="I49" s="297">
        <f t="shared" si="5"/>
        <v>898</v>
      </c>
      <c r="J49" s="297">
        <f t="shared" si="5"/>
        <v>898</v>
      </c>
      <c r="K49" s="297">
        <f t="shared" si="6"/>
        <v>898</v>
      </c>
      <c r="L49" s="297">
        <f t="shared" si="6"/>
        <v>898</v>
      </c>
    </row>
    <row r="50" spans="1:12" ht="21" customHeight="1">
      <c r="A50" s="265" t="s">
        <v>376</v>
      </c>
      <c r="B50" s="264"/>
      <c r="C50" s="301">
        <v>195</v>
      </c>
      <c r="D50" s="301">
        <v>157</v>
      </c>
      <c r="E50" s="301">
        <v>163</v>
      </c>
      <c r="F50" s="297">
        <f t="shared" si="2"/>
        <v>157</v>
      </c>
      <c r="G50" s="303">
        <f t="shared" si="3"/>
        <v>157</v>
      </c>
      <c r="H50" s="297">
        <f t="shared" si="4"/>
        <v>157</v>
      </c>
      <c r="I50" s="297">
        <f t="shared" si="5"/>
        <v>157</v>
      </c>
      <c r="J50" s="297">
        <f t="shared" si="5"/>
        <v>157</v>
      </c>
      <c r="K50" s="297">
        <f t="shared" si="6"/>
        <v>157</v>
      </c>
      <c r="L50" s="297">
        <f t="shared" si="6"/>
        <v>157</v>
      </c>
    </row>
    <row r="51" spans="1:12" ht="21" customHeight="1">
      <c r="A51" s="265" t="s">
        <v>377</v>
      </c>
      <c r="B51" s="264"/>
      <c r="C51" s="301">
        <v>2519</v>
      </c>
      <c r="D51" s="301">
        <v>1945</v>
      </c>
      <c r="E51" s="301">
        <v>1820</v>
      </c>
      <c r="F51" s="297">
        <f t="shared" si="2"/>
        <v>1943</v>
      </c>
      <c r="G51" s="303">
        <f t="shared" si="3"/>
        <v>1941</v>
      </c>
      <c r="H51" s="297">
        <f t="shared" si="4"/>
        <v>1941</v>
      </c>
      <c r="I51" s="297">
        <f t="shared" si="5"/>
        <v>1940</v>
      </c>
      <c r="J51" s="297">
        <f t="shared" si="5"/>
        <v>1940</v>
      </c>
      <c r="K51" s="297">
        <f t="shared" si="6"/>
        <v>1939</v>
      </c>
      <c r="L51" s="297">
        <f t="shared" si="6"/>
        <v>1939</v>
      </c>
    </row>
    <row r="52" spans="1:12" ht="21" customHeight="1">
      <c r="A52" s="265" t="s">
        <v>378</v>
      </c>
      <c r="B52" s="264"/>
      <c r="C52" s="301">
        <v>507</v>
      </c>
      <c r="D52" s="301">
        <v>549</v>
      </c>
      <c r="E52" s="301">
        <v>535</v>
      </c>
      <c r="F52" s="297">
        <f t="shared" si="2"/>
        <v>548</v>
      </c>
      <c r="G52" s="303">
        <f t="shared" si="3"/>
        <v>547</v>
      </c>
      <c r="H52" s="297">
        <f t="shared" si="4"/>
        <v>547</v>
      </c>
      <c r="I52" s="297">
        <f t="shared" si="5"/>
        <v>547</v>
      </c>
      <c r="J52" s="297">
        <f t="shared" si="5"/>
        <v>547</v>
      </c>
      <c r="K52" s="297">
        <f t="shared" si="6"/>
        <v>547</v>
      </c>
      <c r="L52" s="297">
        <f t="shared" si="6"/>
        <v>547</v>
      </c>
    </row>
    <row r="53" spans="1:12" ht="78" customHeight="1">
      <c r="A53" s="261" t="s">
        <v>380</v>
      </c>
      <c r="B53" s="254" t="s">
        <v>357</v>
      </c>
      <c r="C53" s="260">
        <f aca="true" t="shared" si="7" ref="C53:L53">SUM(C55:C74)</f>
        <v>27657</v>
      </c>
      <c r="D53" s="260">
        <f t="shared" si="7"/>
        <v>26231</v>
      </c>
      <c r="E53" s="260">
        <f t="shared" si="7"/>
        <v>26253</v>
      </c>
      <c r="F53" s="260">
        <f t="shared" si="7"/>
        <v>26254</v>
      </c>
      <c r="G53" s="262">
        <f t="shared" si="7"/>
        <v>26303</v>
      </c>
      <c r="H53" s="262">
        <f t="shared" si="7"/>
        <v>26546</v>
      </c>
      <c r="I53" s="262">
        <f t="shared" si="7"/>
        <v>26244</v>
      </c>
      <c r="J53" s="262">
        <f t="shared" si="7"/>
        <v>26651</v>
      </c>
      <c r="K53" s="262">
        <f t="shared" si="7"/>
        <v>26517</v>
      </c>
      <c r="L53" s="262">
        <f t="shared" si="7"/>
        <v>26942</v>
      </c>
    </row>
    <row r="54" spans="1:15" ht="21.75" customHeight="1">
      <c r="A54" s="263" t="s">
        <v>358</v>
      </c>
      <c r="B54" s="264"/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245">
        <f>SUM(M55:M74)</f>
        <v>27741</v>
      </c>
      <c r="N54" s="266">
        <f>SUM(N55:N74)</f>
        <v>100</v>
      </c>
      <c r="O54" s="246">
        <v>1510</v>
      </c>
    </row>
    <row r="55" spans="1:15" ht="26.25" customHeight="1">
      <c r="A55" s="265" t="s">
        <v>359</v>
      </c>
      <c r="B55" s="264"/>
      <c r="C55" s="298">
        <v>1031</v>
      </c>
      <c r="D55" s="298">
        <f>SUM(M55-O55)</f>
        <v>978</v>
      </c>
      <c r="E55" s="298">
        <f>SUM(D55*1.0009)</f>
        <v>979</v>
      </c>
      <c r="F55" s="298">
        <f>SUM(D55*1.00091)</f>
        <v>979</v>
      </c>
      <c r="G55" s="298">
        <f>SUM(F55*1.001866)</f>
        <v>981</v>
      </c>
      <c r="H55" s="298">
        <f>SUM(F55*1.011159)</f>
        <v>990</v>
      </c>
      <c r="I55" s="298">
        <f>SUM(G55*0.997719)</f>
        <v>979</v>
      </c>
      <c r="J55" s="298">
        <f>SUM(H55*1.003955)</f>
        <v>994</v>
      </c>
      <c r="K55" s="298">
        <f>SUM(I55*1.010516)</f>
        <v>989</v>
      </c>
      <c r="L55" s="298">
        <f>SUM(J55*1.010956)</f>
        <v>1005</v>
      </c>
      <c r="M55" s="245">
        <v>1034</v>
      </c>
      <c r="N55" s="266">
        <f>SUM(M55*100/M54)</f>
        <v>3.7</v>
      </c>
      <c r="O55" s="246">
        <v>56</v>
      </c>
    </row>
    <row r="56" spans="1:15" ht="24.75" customHeight="1">
      <c r="A56" s="265" t="s">
        <v>360</v>
      </c>
      <c r="B56" s="264"/>
      <c r="C56" s="298">
        <v>918</v>
      </c>
      <c r="D56" s="298">
        <f aca="true" t="shared" si="8" ref="D56:D74">SUM(M56-O56)</f>
        <v>871</v>
      </c>
      <c r="E56" s="298">
        <f aca="true" t="shared" si="9" ref="E56:E74">SUM(D56*1.0009)</f>
        <v>872</v>
      </c>
      <c r="F56" s="298">
        <f aca="true" t="shared" si="10" ref="F56:F74">SUM(D56*1.00091)</f>
        <v>872</v>
      </c>
      <c r="G56" s="298">
        <f aca="true" t="shared" si="11" ref="G56:G74">SUM(F56*1.001866)</f>
        <v>874</v>
      </c>
      <c r="H56" s="298">
        <f aca="true" t="shared" si="12" ref="H56:H74">SUM(F56*1.011159)</f>
        <v>882</v>
      </c>
      <c r="I56" s="298">
        <f aca="true" t="shared" si="13" ref="I56:I74">SUM(G56*0.997719)</f>
        <v>872</v>
      </c>
      <c r="J56" s="298">
        <f aca="true" t="shared" si="14" ref="J56:J74">SUM(H56*1.003955)</f>
        <v>885</v>
      </c>
      <c r="K56" s="298">
        <f aca="true" t="shared" si="15" ref="K56:K74">SUM(I56*1.010516)</f>
        <v>881</v>
      </c>
      <c r="L56" s="298">
        <f aca="true" t="shared" si="16" ref="L56:L74">SUM(J56*1.010956)</f>
        <v>895</v>
      </c>
      <c r="M56" s="245">
        <v>921</v>
      </c>
      <c r="N56" s="266">
        <f>SUM(M56*100/M54)</f>
        <v>3.3</v>
      </c>
      <c r="O56" s="246">
        <v>50</v>
      </c>
    </row>
    <row r="57" spans="1:15" ht="24" customHeight="1">
      <c r="A57" s="265" t="s">
        <v>361</v>
      </c>
      <c r="B57" s="264"/>
      <c r="C57" s="298">
        <v>1546</v>
      </c>
      <c r="D57" s="298">
        <f t="shared" si="8"/>
        <v>1466</v>
      </c>
      <c r="E57" s="298">
        <f t="shared" si="9"/>
        <v>1467</v>
      </c>
      <c r="F57" s="298">
        <f t="shared" si="10"/>
        <v>1467</v>
      </c>
      <c r="G57" s="298">
        <f t="shared" si="11"/>
        <v>1470</v>
      </c>
      <c r="H57" s="298">
        <f t="shared" si="12"/>
        <v>1483</v>
      </c>
      <c r="I57" s="298">
        <f t="shared" si="13"/>
        <v>1467</v>
      </c>
      <c r="J57" s="298">
        <f t="shared" si="14"/>
        <v>1489</v>
      </c>
      <c r="K57" s="298">
        <f t="shared" si="15"/>
        <v>1482</v>
      </c>
      <c r="L57" s="298">
        <f t="shared" si="16"/>
        <v>1505</v>
      </c>
      <c r="M57" s="245">
        <v>1551</v>
      </c>
      <c r="N57" s="266">
        <f>SUM(M57*100/M54)</f>
        <v>5.6</v>
      </c>
      <c r="O57" s="267">
        <v>85</v>
      </c>
    </row>
    <row r="58" spans="1:15" ht="24.75" customHeight="1">
      <c r="A58" s="265" t="s">
        <v>362</v>
      </c>
      <c r="B58" s="264"/>
      <c r="C58" s="298">
        <v>150</v>
      </c>
      <c r="D58" s="298">
        <f t="shared" si="8"/>
        <v>142</v>
      </c>
      <c r="E58" s="298">
        <f t="shared" si="9"/>
        <v>142</v>
      </c>
      <c r="F58" s="298">
        <f t="shared" si="10"/>
        <v>142</v>
      </c>
      <c r="G58" s="298">
        <f t="shared" si="11"/>
        <v>142</v>
      </c>
      <c r="H58" s="298">
        <f t="shared" si="12"/>
        <v>144</v>
      </c>
      <c r="I58" s="298">
        <f t="shared" si="13"/>
        <v>142</v>
      </c>
      <c r="J58" s="298">
        <f t="shared" si="14"/>
        <v>145</v>
      </c>
      <c r="K58" s="298">
        <f t="shared" si="15"/>
        <v>143</v>
      </c>
      <c r="L58" s="298">
        <f t="shared" si="16"/>
        <v>147</v>
      </c>
      <c r="M58" s="245">
        <v>150</v>
      </c>
      <c r="N58" s="266">
        <f>SUM(M58*100/M54)</f>
        <v>0.5</v>
      </c>
      <c r="O58" s="267">
        <v>8</v>
      </c>
    </row>
    <row r="59" spans="1:15" ht="24.75" customHeight="1">
      <c r="A59" s="265" t="s">
        <v>363</v>
      </c>
      <c r="B59" s="264"/>
      <c r="C59" s="298">
        <v>5230</v>
      </c>
      <c r="D59" s="298">
        <f t="shared" si="8"/>
        <v>4961</v>
      </c>
      <c r="E59" s="298">
        <f t="shared" si="9"/>
        <v>4965</v>
      </c>
      <c r="F59" s="298">
        <f t="shared" si="10"/>
        <v>4966</v>
      </c>
      <c r="G59" s="298">
        <f t="shared" si="11"/>
        <v>4975</v>
      </c>
      <c r="H59" s="298">
        <f t="shared" si="12"/>
        <v>5021</v>
      </c>
      <c r="I59" s="298">
        <f t="shared" si="13"/>
        <v>4964</v>
      </c>
      <c r="J59" s="298">
        <f t="shared" si="14"/>
        <v>5041</v>
      </c>
      <c r="K59" s="298">
        <f t="shared" si="15"/>
        <v>5016</v>
      </c>
      <c r="L59" s="298">
        <f t="shared" si="16"/>
        <v>5096</v>
      </c>
      <c r="M59" s="245">
        <v>5246</v>
      </c>
      <c r="N59" s="266">
        <f>SUM(M59*100/M54)</f>
        <v>18.9</v>
      </c>
      <c r="O59" s="267">
        <v>285</v>
      </c>
    </row>
    <row r="60" spans="1:15" ht="24.75" customHeight="1">
      <c r="A60" s="265" t="s">
        <v>364</v>
      </c>
      <c r="B60" s="264"/>
      <c r="C60" s="298">
        <v>129</v>
      </c>
      <c r="D60" s="298">
        <f t="shared" si="8"/>
        <v>121</v>
      </c>
      <c r="E60" s="298">
        <f t="shared" si="9"/>
        <v>121</v>
      </c>
      <c r="F60" s="298">
        <f t="shared" si="10"/>
        <v>121</v>
      </c>
      <c r="G60" s="298">
        <f t="shared" si="11"/>
        <v>121</v>
      </c>
      <c r="H60" s="298">
        <f t="shared" si="12"/>
        <v>122</v>
      </c>
      <c r="I60" s="298">
        <f t="shared" si="13"/>
        <v>121</v>
      </c>
      <c r="J60" s="298">
        <f t="shared" si="14"/>
        <v>122</v>
      </c>
      <c r="K60" s="298">
        <f t="shared" si="15"/>
        <v>122</v>
      </c>
      <c r="L60" s="298">
        <f t="shared" si="16"/>
        <v>123</v>
      </c>
      <c r="M60" s="245">
        <v>129</v>
      </c>
      <c r="N60" s="266">
        <f>SUM(M60*100/M54)</f>
        <v>0.5</v>
      </c>
      <c r="O60" s="267">
        <v>8</v>
      </c>
    </row>
    <row r="61" spans="1:15" ht="24.75" customHeight="1">
      <c r="A61" s="265" t="s">
        <v>365</v>
      </c>
      <c r="B61" s="264"/>
      <c r="C61" s="298">
        <v>1707</v>
      </c>
      <c r="D61" s="298">
        <f t="shared" si="8"/>
        <v>1618</v>
      </c>
      <c r="E61" s="298">
        <f t="shared" si="9"/>
        <v>1619</v>
      </c>
      <c r="F61" s="298">
        <f t="shared" si="10"/>
        <v>1619</v>
      </c>
      <c r="G61" s="298">
        <f t="shared" si="11"/>
        <v>1622</v>
      </c>
      <c r="H61" s="298">
        <f t="shared" si="12"/>
        <v>1637</v>
      </c>
      <c r="I61" s="298">
        <f t="shared" si="13"/>
        <v>1618</v>
      </c>
      <c r="J61" s="298">
        <f t="shared" si="14"/>
        <v>1643</v>
      </c>
      <c r="K61" s="298">
        <f t="shared" si="15"/>
        <v>1635</v>
      </c>
      <c r="L61" s="298">
        <f t="shared" si="16"/>
        <v>1661</v>
      </c>
      <c r="M61" s="245">
        <v>1712</v>
      </c>
      <c r="N61" s="266">
        <f>SUM(M61*100/M54)</f>
        <v>6.2</v>
      </c>
      <c r="O61" s="267">
        <v>94</v>
      </c>
    </row>
    <row r="62" spans="1:15" ht="24.75" customHeight="1">
      <c r="A62" s="265" t="s">
        <v>366</v>
      </c>
      <c r="B62" s="264"/>
      <c r="C62" s="298">
        <v>1634</v>
      </c>
      <c r="D62" s="298">
        <f t="shared" si="8"/>
        <v>1550</v>
      </c>
      <c r="E62" s="298">
        <f t="shared" si="9"/>
        <v>1551</v>
      </c>
      <c r="F62" s="298">
        <f t="shared" si="10"/>
        <v>1551</v>
      </c>
      <c r="G62" s="298">
        <f t="shared" si="11"/>
        <v>1554</v>
      </c>
      <c r="H62" s="298">
        <f t="shared" si="12"/>
        <v>1568</v>
      </c>
      <c r="I62" s="298">
        <f t="shared" si="13"/>
        <v>1550</v>
      </c>
      <c r="J62" s="298">
        <f t="shared" si="14"/>
        <v>1574</v>
      </c>
      <c r="K62" s="298">
        <f t="shared" si="15"/>
        <v>1566</v>
      </c>
      <c r="L62" s="298">
        <f t="shared" si="16"/>
        <v>1591</v>
      </c>
      <c r="M62" s="245">
        <v>1639</v>
      </c>
      <c r="N62" s="266">
        <f>SUM(M62*100/M54)</f>
        <v>5.9</v>
      </c>
      <c r="O62" s="267">
        <v>89</v>
      </c>
    </row>
    <row r="63" spans="1:15" ht="24.75" customHeight="1">
      <c r="A63" s="265" t="s">
        <v>367</v>
      </c>
      <c r="B63" s="264"/>
      <c r="C63" s="298">
        <v>1087</v>
      </c>
      <c r="D63" s="298">
        <f t="shared" si="8"/>
        <v>1031</v>
      </c>
      <c r="E63" s="298">
        <f t="shared" si="9"/>
        <v>1032</v>
      </c>
      <c r="F63" s="298">
        <f t="shared" si="10"/>
        <v>1032</v>
      </c>
      <c r="G63" s="298">
        <f t="shared" si="11"/>
        <v>1034</v>
      </c>
      <c r="H63" s="298">
        <f t="shared" si="12"/>
        <v>1044</v>
      </c>
      <c r="I63" s="298">
        <f t="shared" si="13"/>
        <v>1032</v>
      </c>
      <c r="J63" s="298">
        <f t="shared" si="14"/>
        <v>1048</v>
      </c>
      <c r="K63" s="298">
        <f t="shared" si="15"/>
        <v>1043</v>
      </c>
      <c r="L63" s="298">
        <f t="shared" si="16"/>
        <v>1059</v>
      </c>
      <c r="M63" s="245">
        <v>1090</v>
      </c>
      <c r="N63" s="266">
        <f>SUM(M63*100/M54)</f>
        <v>3.9</v>
      </c>
      <c r="O63" s="267">
        <v>59</v>
      </c>
    </row>
    <row r="64" spans="1:15" ht="24.75" customHeight="1">
      <c r="A64" s="265" t="s">
        <v>368</v>
      </c>
      <c r="B64" s="264"/>
      <c r="C64" s="298">
        <v>298</v>
      </c>
      <c r="D64" s="298">
        <f t="shared" si="8"/>
        <v>282</v>
      </c>
      <c r="E64" s="298">
        <f t="shared" si="9"/>
        <v>282</v>
      </c>
      <c r="F64" s="298">
        <f t="shared" si="10"/>
        <v>282</v>
      </c>
      <c r="G64" s="298">
        <f t="shared" si="11"/>
        <v>283</v>
      </c>
      <c r="H64" s="298">
        <f t="shared" si="12"/>
        <v>285</v>
      </c>
      <c r="I64" s="298">
        <f t="shared" si="13"/>
        <v>282</v>
      </c>
      <c r="J64" s="298">
        <f t="shared" si="14"/>
        <v>286</v>
      </c>
      <c r="K64" s="298">
        <f t="shared" si="15"/>
        <v>285</v>
      </c>
      <c r="L64" s="298">
        <f t="shared" si="16"/>
        <v>289</v>
      </c>
      <c r="M64" s="245">
        <v>299</v>
      </c>
      <c r="N64" s="266">
        <f>SUM(M64*100/M54)</f>
        <v>1.1</v>
      </c>
      <c r="O64" s="267">
        <v>17</v>
      </c>
    </row>
    <row r="65" spans="1:15" ht="24.75" customHeight="1">
      <c r="A65" s="265" t="s">
        <v>369</v>
      </c>
      <c r="B65" s="264"/>
      <c r="C65" s="298">
        <v>215</v>
      </c>
      <c r="D65" s="298">
        <f t="shared" si="8"/>
        <v>204</v>
      </c>
      <c r="E65" s="298">
        <f t="shared" si="9"/>
        <v>204</v>
      </c>
      <c r="F65" s="298">
        <f t="shared" si="10"/>
        <v>204</v>
      </c>
      <c r="G65" s="298">
        <f t="shared" si="11"/>
        <v>204</v>
      </c>
      <c r="H65" s="298">
        <f t="shared" si="12"/>
        <v>206</v>
      </c>
      <c r="I65" s="298">
        <f t="shared" si="13"/>
        <v>204</v>
      </c>
      <c r="J65" s="298">
        <f t="shared" si="14"/>
        <v>207</v>
      </c>
      <c r="K65" s="298">
        <f t="shared" si="15"/>
        <v>206</v>
      </c>
      <c r="L65" s="298">
        <f t="shared" si="16"/>
        <v>209</v>
      </c>
      <c r="M65" s="245">
        <v>216</v>
      </c>
      <c r="N65" s="266">
        <f>SUM(M65*100/M54)</f>
        <v>0.8</v>
      </c>
      <c r="O65" s="267">
        <v>12</v>
      </c>
    </row>
    <row r="66" spans="1:15" ht="24.75" customHeight="1">
      <c r="A66" s="265" t="s">
        <v>370</v>
      </c>
      <c r="B66" s="264"/>
      <c r="C66" s="298">
        <v>850</v>
      </c>
      <c r="D66" s="298">
        <f t="shared" si="8"/>
        <v>806</v>
      </c>
      <c r="E66" s="298">
        <f t="shared" si="9"/>
        <v>807</v>
      </c>
      <c r="F66" s="298">
        <f t="shared" si="10"/>
        <v>807</v>
      </c>
      <c r="G66" s="298">
        <f t="shared" si="11"/>
        <v>809</v>
      </c>
      <c r="H66" s="298">
        <f t="shared" si="12"/>
        <v>816</v>
      </c>
      <c r="I66" s="298">
        <f t="shared" si="13"/>
        <v>807</v>
      </c>
      <c r="J66" s="298">
        <f t="shared" si="14"/>
        <v>819</v>
      </c>
      <c r="K66" s="298">
        <f t="shared" si="15"/>
        <v>815</v>
      </c>
      <c r="L66" s="298">
        <f t="shared" si="16"/>
        <v>828</v>
      </c>
      <c r="M66" s="245">
        <v>853</v>
      </c>
      <c r="N66" s="266">
        <f>SUM(M66*100/M54)</f>
        <v>3.1</v>
      </c>
      <c r="O66" s="267">
        <v>47</v>
      </c>
    </row>
    <row r="67" spans="1:15" ht="24.75" customHeight="1">
      <c r="A67" s="265" t="s">
        <v>371</v>
      </c>
      <c r="B67" s="264"/>
      <c r="C67" s="298">
        <v>1325</v>
      </c>
      <c r="D67" s="298">
        <f t="shared" si="8"/>
        <v>1257</v>
      </c>
      <c r="E67" s="298">
        <f t="shared" si="9"/>
        <v>1258</v>
      </c>
      <c r="F67" s="298">
        <f t="shared" si="10"/>
        <v>1258</v>
      </c>
      <c r="G67" s="298">
        <f t="shared" si="11"/>
        <v>1260</v>
      </c>
      <c r="H67" s="298">
        <f t="shared" si="12"/>
        <v>1272</v>
      </c>
      <c r="I67" s="298">
        <f t="shared" si="13"/>
        <v>1257</v>
      </c>
      <c r="J67" s="298">
        <f t="shared" si="14"/>
        <v>1277</v>
      </c>
      <c r="K67" s="298">
        <f t="shared" si="15"/>
        <v>1270</v>
      </c>
      <c r="L67" s="298">
        <f t="shared" si="16"/>
        <v>1291</v>
      </c>
      <c r="M67" s="245">
        <v>1329</v>
      </c>
      <c r="N67" s="266">
        <f>SUM(M67*100/M54)</f>
        <v>4.8</v>
      </c>
      <c r="O67" s="267">
        <v>72</v>
      </c>
    </row>
    <row r="68" spans="1:15" ht="24.75" customHeight="1">
      <c r="A68" s="265" t="s">
        <v>372</v>
      </c>
      <c r="B68" s="264"/>
      <c r="C68" s="298">
        <v>1851</v>
      </c>
      <c r="D68" s="298">
        <f t="shared" si="8"/>
        <v>1756</v>
      </c>
      <c r="E68" s="298">
        <f t="shared" si="9"/>
        <v>1758</v>
      </c>
      <c r="F68" s="298">
        <f t="shared" si="10"/>
        <v>1758</v>
      </c>
      <c r="G68" s="298">
        <f t="shared" si="11"/>
        <v>1761</v>
      </c>
      <c r="H68" s="298">
        <f t="shared" si="12"/>
        <v>1778</v>
      </c>
      <c r="I68" s="298">
        <f t="shared" si="13"/>
        <v>1757</v>
      </c>
      <c r="J68" s="298">
        <f t="shared" si="14"/>
        <v>1785</v>
      </c>
      <c r="K68" s="298">
        <f t="shared" si="15"/>
        <v>1775</v>
      </c>
      <c r="L68" s="298">
        <f t="shared" si="16"/>
        <v>1805</v>
      </c>
      <c r="M68" s="245">
        <v>1857</v>
      </c>
      <c r="N68" s="266">
        <f>SUM(M68*100/M54)</f>
        <v>6.7</v>
      </c>
      <c r="O68" s="267">
        <v>101</v>
      </c>
    </row>
    <row r="69" spans="1:15" ht="24.75" customHeight="1">
      <c r="A69" s="265" t="s">
        <v>373</v>
      </c>
      <c r="B69" s="264"/>
      <c r="C69" s="298">
        <v>3593</v>
      </c>
      <c r="D69" s="298">
        <f t="shared" si="8"/>
        <v>3408</v>
      </c>
      <c r="E69" s="298">
        <f t="shared" si="9"/>
        <v>3411</v>
      </c>
      <c r="F69" s="298">
        <f t="shared" si="10"/>
        <v>3411</v>
      </c>
      <c r="G69" s="298">
        <f t="shared" si="11"/>
        <v>3417</v>
      </c>
      <c r="H69" s="298">
        <f t="shared" si="12"/>
        <v>3449</v>
      </c>
      <c r="I69" s="298">
        <f t="shared" si="13"/>
        <v>3409</v>
      </c>
      <c r="J69" s="298">
        <f t="shared" si="14"/>
        <v>3463</v>
      </c>
      <c r="K69" s="298">
        <f t="shared" si="15"/>
        <v>3445</v>
      </c>
      <c r="L69" s="298">
        <f t="shared" si="16"/>
        <v>3501</v>
      </c>
      <c r="M69" s="245">
        <v>3604</v>
      </c>
      <c r="N69" s="266">
        <f>SUM(M69*100/M54)</f>
        <v>13</v>
      </c>
      <c r="O69" s="267">
        <v>196</v>
      </c>
    </row>
    <row r="70" spans="1:15" ht="24.75" customHeight="1">
      <c r="A70" s="265" t="s">
        <v>374</v>
      </c>
      <c r="B70" s="264"/>
      <c r="C70" s="298">
        <v>2432</v>
      </c>
      <c r="D70" s="298">
        <f t="shared" si="8"/>
        <v>2306</v>
      </c>
      <c r="E70" s="298">
        <f t="shared" si="9"/>
        <v>2308</v>
      </c>
      <c r="F70" s="298">
        <f t="shared" si="10"/>
        <v>2308</v>
      </c>
      <c r="G70" s="298">
        <f t="shared" si="11"/>
        <v>2312</v>
      </c>
      <c r="H70" s="298">
        <f t="shared" si="12"/>
        <v>2334</v>
      </c>
      <c r="I70" s="298">
        <f t="shared" si="13"/>
        <v>2307</v>
      </c>
      <c r="J70" s="298">
        <f t="shared" si="14"/>
        <v>2343</v>
      </c>
      <c r="K70" s="298">
        <f t="shared" si="15"/>
        <v>2331</v>
      </c>
      <c r="L70" s="298">
        <f t="shared" si="16"/>
        <v>2369</v>
      </c>
      <c r="M70" s="245">
        <v>2439</v>
      </c>
      <c r="N70" s="266">
        <f>SUM(M70*100/M54)</f>
        <v>8.8</v>
      </c>
      <c r="O70" s="267">
        <v>133</v>
      </c>
    </row>
    <row r="71" spans="1:15" ht="24.75" customHeight="1">
      <c r="A71" s="265" t="s">
        <v>375</v>
      </c>
      <c r="B71" s="264"/>
      <c r="C71" s="298">
        <v>970</v>
      </c>
      <c r="D71" s="298">
        <f t="shared" si="8"/>
        <v>920</v>
      </c>
      <c r="E71" s="298">
        <f t="shared" si="9"/>
        <v>921</v>
      </c>
      <c r="F71" s="298">
        <f t="shared" si="10"/>
        <v>921</v>
      </c>
      <c r="G71" s="298">
        <f t="shared" si="11"/>
        <v>923</v>
      </c>
      <c r="H71" s="298">
        <f t="shared" si="12"/>
        <v>931</v>
      </c>
      <c r="I71" s="298">
        <f t="shared" si="13"/>
        <v>921</v>
      </c>
      <c r="J71" s="298">
        <f t="shared" si="14"/>
        <v>935</v>
      </c>
      <c r="K71" s="298">
        <f t="shared" si="15"/>
        <v>931</v>
      </c>
      <c r="L71" s="298">
        <f t="shared" si="16"/>
        <v>945</v>
      </c>
      <c r="M71" s="245">
        <v>973</v>
      </c>
      <c r="N71" s="266">
        <f>SUM(M71*100/M54)</f>
        <v>3.5</v>
      </c>
      <c r="O71" s="267">
        <v>53</v>
      </c>
    </row>
    <row r="72" spans="1:15" ht="24.75" customHeight="1">
      <c r="A72" s="265" t="s">
        <v>376</v>
      </c>
      <c r="B72" s="264"/>
      <c r="C72" s="298">
        <v>273</v>
      </c>
      <c r="D72" s="298">
        <f t="shared" si="8"/>
        <v>259</v>
      </c>
      <c r="E72" s="298">
        <f t="shared" si="9"/>
        <v>259</v>
      </c>
      <c r="F72" s="298">
        <f t="shared" si="10"/>
        <v>259</v>
      </c>
      <c r="G72" s="298">
        <f t="shared" si="11"/>
        <v>259</v>
      </c>
      <c r="H72" s="298">
        <f t="shared" si="12"/>
        <v>262</v>
      </c>
      <c r="I72" s="298">
        <f t="shared" si="13"/>
        <v>258</v>
      </c>
      <c r="J72" s="298">
        <f t="shared" si="14"/>
        <v>263</v>
      </c>
      <c r="K72" s="298">
        <f t="shared" si="15"/>
        <v>261</v>
      </c>
      <c r="L72" s="298">
        <f t="shared" si="16"/>
        <v>266</v>
      </c>
      <c r="M72" s="245">
        <v>274</v>
      </c>
      <c r="N72" s="266">
        <f>SUM(M72*100/M54)</f>
        <v>1</v>
      </c>
      <c r="O72" s="267">
        <v>15</v>
      </c>
    </row>
    <row r="73" spans="1:15" ht="24.75" customHeight="1">
      <c r="A73" s="265" t="s">
        <v>377</v>
      </c>
      <c r="B73" s="264"/>
      <c r="C73" s="298">
        <v>2023</v>
      </c>
      <c r="D73" s="298">
        <f t="shared" si="8"/>
        <v>1919</v>
      </c>
      <c r="E73" s="298">
        <f t="shared" si="9"/>
        <v>1921</v>
      </c>
      <c r="F73" s="298">
        <f t="shared" si="10"/>
        <v>1921</v>
      </c>
      <c r="G73" s="298">
        <f t="shared" si="11"/>
        <v>1925</v>
      </c>
      <c r="H73" s="298">
        <f t="shared" si="12"/>
        <v>1942</v>
      </c>
      <c r="I73" s="298">
        <f t="shared" si="13"/>
        <v>1921</v>
      </c>
      <c r="J73" s="298">
        <f t="shared" si="14"/>
        <v>1950</v>
      </c>
      <c r="K73" s="298">
        <f t="shared" si="15"/>
        <v>1941</v>
      </c>
      <c r="L73" s="298">
        <f t="shared" si="16"/>
        <v>1971</v>
      </c>
      <c r="M73" s="245">
        <v>2029</v>
      </c>
      <c r="N73" s="266">
        <f>SUM(M73*100/M54)</f>
        <v>7.3</v>
      </c>
      <c r="O73" s="267">
        <v>110</v>
      </c>
    </row>
    <row r="74" spans="1:15" ht="24.75" customHeight="1">
      <c r="A74" s="265" t="s">
        <v>378</v>
      </c>
      <c r="B74" s="264"/>
      <c r="C74" s="298">
        <v>395</v>
      </c>
      <c r="D74" s="298">
        <f t="shared" si="8"/>
        <v>376</v>
      </c>
      <c r="E74" s="298">
        <f t="shared" si="9"/>
        <v>376</v>
      </c>
      <c r="F74" s="298">
        <f t="shared" si="10"/>
        <v>376</v>
      </c>
      <c r="G74" s="298">
        <f t="shared" si="11"/>
        <v>377</v>
      </c>
      <c r="H74" s="298">
        <f t="shared" si="12"/>
        <v>380</v>
      </c>
      <c r="I74" s="298">
        <f t="shared" si="13"/>
        <v>376</v>
      </c>
      <c r="J74" s="298">
        <f t="shared" si="14"/>
        <v>382</v>
      </c>
      <c r="K74" s="298">
        <f t="shared" si="15"/>
        <v>380</v>
      </c>
      <c r="L74" s="298">
        <f t="shared" si="16"/>
        <v>386</v>
      </c>
      <c r="M74" s="245">
        <v>396</v>
      </c>
      <c r="N74" s="266">
        <f>SUM(M74*100/M54)</f>
        <v>1.4</v>
      </c>
      <c r="O74" s="267">
        <v>20</v>
      </c>
    </row>
    <row r="75" spans="1:13" s="270" customFormat="1" ht="34.5" customHeight="1">
      <c r="A75" s="268" t="s">
        <v>381</v>
      </c>
      <c r="B75" s="264" t="s">
        <v>382</v>
      </c>
      <c r="C75" s="304">
        <f aca="true" t="shared" si="17" ref="C75:L75">SUM(C77:C96)</f>
        <v>5147.9</v>
      </c>
      <c r="D75" s="304">
        <f t="shared" si="17"/>
        <v>5644.3</v>
      </c>
      <c r="E75" s="304">
        <f t="shared" si="17"/>
        <v>1570.3</v>
      </c>
      <c r="F75" s="304">
        <f t="shared" si="17"/>
        <v>6595.4</v>
      </c>
      <c r="G75" s="304">
        <f t="shared" si="17"/>
        <v>7238.6</v>
      </c>
      <c r="H75" s="304">
        <f t="shared" si="17"/>
        <v>7238.6</v>
      </c>
      <c r="I75" s="304">
        <f t="shared" si="17"/>
        <v>7955.9</v>
      </c>
      <c r="J75" s="304">
        <f t="shared" si="17"/>
        <v>7955.9</v>
      </c>
      <c r="K75" s="304">
        <f t="shared" si="17"/>
        <v>8474.5</v>
      </c>
      <c r="L75" s="304">
        <f t="shared" si="17"/>
        <v>8474.5</v>
      </c>
      <c r="M75" s="269"/>
    </row>
    <row r="76" spans="1:12" ht="21" customHeight="1">
      <c r="A76" s="271" t="s">
        <v>358</v>
      </c>
      <c r="B76" s="272"/>
      <c r="C76" s="296"/>
      <c r="D76" s="296"/>
      <c r="E76" s="305"/>
      <c r="F76" s="306"/>
      <c r="G76" s="307"/>
      <c r="H76" s="306"/>
      <c r="I76" s="305"/>
      <c r="J76" s="306"/>
      <c r="K76" s="305"/>
      <c r="L76" s="306"/>
    </row>
    <row r="77" spans="1:12" ht="21" customHeight="1">
      <c r="A77" s="265" t="s">
        <v>359</v>
      </c>
      <c r="B77" s="272"/>
      <c r="C77" s="308">
        <v>112.3</v>
      </c>
      <c r="D77" s="308">
        <v>119</v>
      </c>
      <c r="E77" s="309">
        <f>SUM(F77/4.2)</f>
        <v>26.4</v>
      </c>
      <c r="F77" s="308">
        <v>111</v>
      </c>
      <c r="G77" s="310">
        <f>SUM(F77*1.097568)</f>
        <v>121.8</v>
      </c>
      <c r="H77" s="308">
        <f>SUM(F77*1.097568)</f>
        <v>121.8</v>
      </c>
      <c r="I77" s="309">
        <f>SUM(G77*1.099103)</f>
        <v>133.9</v>
      </c>
      <c r="J77" s="308">
        <f>SUM(H77*1.099103)</f>
        <v>133.9</v>
      </c>
      <c r="K77" s="308">
        <f>SUM(I77*1.0651936)</f>
        <v>142.6</v>
      </c>
      <c r="L77" s="308">
        <f>SUM(J77*1.0651936)</f>
        <v>142.6</v>
      </c>
    </row>
    <row r="78" spans="1:12" ht="21" customHeight="1">
      <c r="A78" s="265" t="s">
        <v>360</v>
      </c>
      <c r="B78" s="272"/>
      <c r="C78" s="308">
        <v>214.9</v>
      </c>
      <c r="D78" s="308">
        <v>221</v>
      </c>
      <c r="E78" s="309">
        <f aca="true" t="shared" si="18" ref="E78:E96">SUM(F78/4.2)</f>
        <v>70.9</v>
      </c>
      <c r="F78" s="308">
        <v>297.7</v>
      </c>
      <c r="G78" s="310">
        <f aca="true" t="shared" si="19" ref="G78:G96">SUM(F78*1.097568)</f>
        <v>326.7</v>
      </c>
      <c r="H78" s="308">
        <f aca="true" t="shared" si="20" ref="H78:H96">SUM(F78*1.097568)</f>
        <v>326.7</v>
      </c>
      <c r="I78" s="309">
        <f aca="true" t="shared" si="21" ref="I78:J96">SUM(G78*1.099103)</f>
        <v>359.1</v>
      </c>
      <c r="J78" s="308">
        <f t="shared" si="21"/>
        <v>359.1</v>
      </c>
      <c r="K78" s="308">
        <f aca="true" t="shared" si="22" ref="K78:L96">SUM(I78*1.0651936)</f>
        <v>382.5</v>
      </c>
      <c r="L78" s="308">
        <f t="shared" si="22"/>
        <v>382.5</v>
      </c>
    </row>
    <row r="79" spans="1:12" ht="21" customHeight="1">
      <c r="A79" s="265" t="s">
        <v>361</v>
      </c>
      <c r="B79" s="272"/>
      <c r="C79" s="308">
        <v>832.3</v>
      </c>
      <c r="D79" s="308">
        <v>841</v>
      </c>
      <c r="E79" s="309">
        <f t="shared" si="18"/>
        <v>198.9</v>
      </c>
      <c r="F79" s="308">
        <v>835.2</v>
      </c>
      <c r="G79" s="310">
        <f t="shared" si="19"/>
        <v>916.7</v>
      </c>
      <c r="H79" s="308">
        <f t="shared" si="20"/>
        <v>916.7</v>
      </c>
      <c r="I79" s="309">
        <f t="shared" si="21"/>
        <v>1007.5</v>
      </c>
      <c r="J79" s="308">
        <f t="shared" si="21"/>
        <v>1007.5</v>
      </c>
      <c r="K79" s="308">
        <f t="shared" si="22"/>
        <v>1073.2</v>
      </c>
      <c r="L79" s="308">
        <f t="shared" si="22"/>
        <v>1073.2</v>
      </c>
    </row>
    <row r="80" spans="1:12" ht="21" customHeight="1">
      <c r="A80" s="265" t="s">
        <v>362</v>
      </c>
      <c r="B80" s="272"/>
      <c r="C80" s="308">
        <v>13.5</v>
      </c>
      <c r="D80" s="308">
        <v>13.1</v>
      </c>
      <c r="E80" s="309">
        <f t="shared" si="18"/>
        <v>5.7</v>
      </c>
      <c r="F80" s="308">
        <v>24</v>
      </c>
      <c r="G80" s="310">
        <f t="shared" si="19"/>
        <v>26.3</v>
      </c>
      <c r="H80" s="308">
        <f t="shared" si="20"/>
        <v>26.3</v>
      </c>
      <c r="I80" s="309">
        <f t="shared" si="21"/>
        <v>28.9</v>
      </c>
      <c r="J80" s="308">
        <f t="shared" si="21"/>
        <v>28.9</v>
      </c>
      <c r="K80" s="308">
        <f t="shared" si="22"/>
        <v>30.8</v>
      </c>
      <c r="L80" s="308">
        <f t="shared" si="22"/>
        <v>30.8</v>
      </c>
    </row>
    <row r="81" spans="1:12" ht="21" customHeight="1">
      <c r="A81" s="265" t="s">
        <v>363</v>
      </c>
      <c r="B81" s="272"/>
      <c r="C81" s="308">
        <v>433.8</v>
      </c>
      <c r="D81" s="308">
        <v>516.1</v>
      </c>
      <c r="E81" s="309">
        <f t="shared" si="18"/>
        <v>169.9</v>
      </c>
      <c r="F81" s="308">
        <v>713.7</v>
      </c>
      <c r="G81" s="310">
        <f t="shared" si="19"/>
        <v>783.3</v>
      </c>
      <c r="H81" s="308">
        <f t="shared" si="20"/>
        <v>783.3</v>
      </c>
      <c r="I81" s="309">
        <f t="shared" si="21"/>
        <v>860.9</v>
      </c>
      <c r="J81" s="308">
        <f t="shared" si="21"/>
        <v>860.9</v>
      </c>
      <c r="K81" s="308">
        <f t="shared" si="22"/>
        <v>917</v>
      </c>
      <c r="L81" s="308">
        <f t="shared" si="22"/>
        <v>917</v>
      </c>
    </row>
    <row r="82" spans="1:12" ht="21" customHeight="1">
      <c r="A82" s="265" t="s">
        <v>364</v>
      </c>
      <c r="B82" s="272"/>
      <c r="C82" s="308">
        <v>25.9</v>
      </c>
      <c r="D82" s="308">
        <v>25.5</v>
      </c>
      <c r="E82" s="309">
        <f t="shared" si="18"/>
        <v>5.9</v>
      </c>
      <c r="F82" s="308">
        <v>24.7</v>
      </c>
      <c r="G82" s="310">
        <f t="shared" si="19"/>
        <v>27.1</v>
      </c>
      <c r="H82" s="308">
        <f t="shared" si="20"/>
        <v>27.1</v>
      </c>
      <c r="I82" s="309">
        <f t="shared" si="21"/>
        <v>29.8</v>
      </c>
      <c r="J82" s="308">
        <f t="shared" si="21"/>
        <v>29.8</v>
      </c>
      <c r="K82" s="308">
        <f t="shared" si="22"/>
        <v>31.7</v>
      </c>
      <c r="L82" s="308">
        <f t="shared" si="22"/>
        <v>31.7</v>
      </c>
    </row>
    <row r="83" spans="1:12" ht="21" customHeight="1">
      <c r="A83" s="265" t="s">
        <v>365</v>
      </c>
      <c r="B83" s="272"/>
      <c r="C83" s="308">
        <v>154.4</v>
      </c>
      <c r="D83" s="308">
        <v>155</v>
      </c>
      <c r="E83" s="309">
        <f t="shared" si="18"/>
        <v>42</v>
      </c>
      <c r="F83" s="308">
        <v>176.5</v>
      </c>
      <c r="G83" s="310">
        <f t="shared" si="19"/>
        <v>193.7</v>
      </c>
      <c r="H83" s="308">
        <f t="shared" si="20"/>
        <v>193.7</v>
      </c>
      <c r="I83" s="309">
        <f t="shared" si="21"/>
        <v>212.9</v>
      </c>
      <c r="J83" s="308">
        <f t="shared" si="21"/>
        <v>212.9</v>
      </c>
      <c r="K83" s="308">
        <f t="shared" si="22"/>
        <v>226.8</v>
      </c>
      <c r="L83" s="308">
        <f t="shared" si="22"/>
        <v>226.8</v>
      </c>
    </row>
    <row r="84" spans="1:12" ht="21" customHeight="1">
      <c r="A84" s="265" t="s">
        <v>366</v>
      </c>
      <c r="B84" s="272"/>
      <c r="C84" s="308">
        <v>353.2</v>
      </c>
      <c r="D84" s="308">
        <v>352.9</v>
      </c>
      <c r="E84" s="309">
        <f t="shared" si="18"/>
        <v>114.8</v>
      </c>
      <c r="F84" s="308">
        <v>482.2</v>
      </c>
      <c r="G84" s="310">
        <f t="shared" si="19"/>
        <v>529.2</v>
      </c>
      <c r="H84" s="308">
        <f t="shared" si="20"/>
        <v>529.2</v>
      </c>
      <c r="I84" s="309">
        <f t="shared" si="21"/>
        <v>581.6</v>
      </c>
      <c r="J84" s="308">
        <f t="shared" si="21"/>
        <v>581.6</v>
      </c>
      <c r="K84" s="308">
        <f t="shared" si="22"/>
        <v>619.5</v>
      </c>
      <c r="L84" s="308">
        <f t="shared" si="22"/>
        <v>619.5</v>
      </c>
    </row>
    <row r="85" spans="1:12" ht="21" customHeight="1">
      <c r="A85" s="265" t="s">
        <v>367</v>
      </c>
      <c r="B85" s="272"/>
      <c r="C85" s="308">
        <v>93</v>
      </c>
      <c r="D85" s="308">
        <v>148.1</v>
      </c>
      <c r="E85" s="309">
        <f t="shared" si="18"/>
        <v>48.5</v>
      </c>
      <c r="F85" s="308">
        <v>203.9</v>
      </c>
      <c r="G85" s="310">
        <f t="shared" si="19"/>
        <v>223.8</v>
      </c>
      <c r="H85" s="308">
        <f t="shared" si="20"/>
        <v>223.8</v>
      </c>
      <c r="I85" s="309">
        <f t="shared" si="21"/>
        <v>246</v>
      </c>
      <c r="J85" s="308">
        <f t="shared" si="21"/>
        <v>246</v>
      </c>
      <c r="K85" s="308">
        <f t="shared" si="22"/>
        <v>262</v>
      </c>
      <c r="L85" s="308">
        <f t="shared" si="22"/>
        <v>262</v>
      </c>
    </row>
    <row r="86" spans="1:12" ht="21" customHeight="1">
      <c r="A86" s="265" t="s">
        <v>368</v>
      </c>
      <c r="B86" s="272"/>
      <c r="C86" s="308">
        <v>37.2</v>
      </c>
      <c r="D86" s="308">
        <v>46</v>
      </c>
      <c r="E86" s="309">
        <f t="shared" si="18"/>
        <v>11.8</v>
      </c>
      <c r="F86" s="308">
        <v>49.4</v>
      </c>
      <c r="G86" s="310">
        <f t="shared" si="19"/>
        <v>54.2</v>
      </c>
      <c r="H86" s="308">
        <f t="shared" si="20"/>
        <v>54.2</v>
      </c>
      <c r="I86" s="309">
        <f t="shared" si="21"/>
        <v>59.6</v>
      </c>
      <c r="J86" s="308">
        <f t="shared" si="21"/>
        <v>59.6</v>
      </c>
      <c r="K86" s="308">
        <f t="shared" si="22"/>
        <v>63.5</v>
      </c>
      <c r="L86" s="308">
        <f t="shared" si="22"/>
        <v>63.5</v>
      </c>
    </row>
    <row r="87" spans="1:12" ht="21" customHeight="1">
      <c r="A87" s="265" t="s">
        <v>369</v>
      </c>
      <c r="B87" s="272"/>
      <c r="C87" s="308">
        <v>78.1</v>
      </c>
      <c r="D87" s="308">
        <v>80.7</v>
      </c>
      <c r="E87" s="309">
        <f t="shared" si="18"/>
        <v>23</v>
      </c>
      <c r="F87" s="308">
        <v>96.5</v>
      </c>
      <c r="G87" s="310">
        <f t="shared" si="19"/>
        <v>105.9</v>
      </c>
      <c r="H87" s="308">
        <f t="shared" si="20"/>
        <v>105.9</v>
      </c>
      <c r="I87" s="309">
        <f t="shared" si="21"/>
        <v>116.4</v>
      </c>
      <c r="J87" s="308">
        <f t="shared" si="21"/>
        <v>116.4</v>
      </c>
      <c r="K87" s="308">
        <f t="shared" si="22"/>
        <v>124</v>
      </c>
      <c r="L87" s="308">
        <f t="shared" si="22"/>
        <v>124</v>
      </c>
    </row>
    <row r="88" spans="1:12" ht="21" customHeight="1">
      <c r="A88" s="265" t="s">
        <v>370</v>
      </c>
      <c r="B88" s="272"/>
      <c r="C88" s="308">
        <v>70.4</v>
      </c>
      <c r="D88" s="308">
        <v>73.6</v>
      </c>
      <c r="E88" s="309">
        <f t="shared" si="18"/>
        <v>9.8</v>
      </c>
      <c r="F88" s="308">
        <v>41.3</v>
      </c>
      <c r="G88" s="310">
        <f t="shared" si="19"/>
        <v>45.3</v>
      </c>
      <c r="H88" s="308">
        <f t="shared" si="20"/>
        <v>45.3</v>
      </c>
      <c r="I88" s="309">
        <f t="shared" si="21"/>
        <v>49.8</v>
      </c>
      <c r="J88" s="308">
        <f t="shared" si="21"/>
        <v>49.8</v>
      </c>
      <c r="K88" s="308">
        <f t="shared" si="22"/>
        <v>53</v>
      </c>
      <c r="L88" s="308">
        <f t="shared" si="22"/>
        <v>53</v>
      </c>
    </row>
    <row r="89" spans="1:12" ht="21" customHeight="1">
      <c r="A89" s="265" t="s">
        <v>371</v>
      </c>
      <c r="B89" s="272"/>
      <c r="C89" s="308">
        <v>650.8</v>
      </c>
      <c r="D89" s="308">
        <v>746.2</v>
      </c>
      <c r="E89" s="309">
        <f t="shared" si="18"/>
        <v>183.7</v>
      </c>
      <c r="F89" s="308">
        <v>771.6</v>
      </c>
      <c r="G89" s="310">
        <f t="shared" si="19"/>
        <v>846.9</v>
      </c>
      <c r="H89" s="308">
        <f t="shared" si="20"/>
        <v>846.9</v>
      </c>
      <c r="I89" s="309">
        <f t="shared" si="21"/>
        <v>930.8</v>
      </c>
      <c r="J89" s="308">
        <f t="shared" si="21"/>
        <v>930.8</v>
      </c>
      <c r="K89" s="308">
        <f t="shared" si="22"/>
        <v>991.5</v>
      </c>
      <c r="L89" s="308">
        <f t="shared" si="22"/>
        <v>991.5</v>
      </c>
    </row>
    <row r="90" spans="1:12" ht="21" customHeight="1">
      <c r="A90" s="265" t="s">
        <v>372</v>
      </c>
      <c r="B90" s="272"/>
      <c r="C90" s="308">
        <v>726.5</v>
      </c>
      <c r="D90" s="308">
        <v>710.9</v>
      </c>
      <c r="E90" s="309">
        <f t="shared" si="18"/>
        <v>245.8</v>
      </c>
      <c r="F90" s="308">
        <v>1032.5</v>
      </c>
      <c r="G90" s="310">
        <f t="shared" si="19"/>
        <v>1133.2</v>
      </c>
      <c r="H90" s="308">
        <f t="shared" si="20"/>
        <v>1133.2</v>
      </c>
      <c r="I90" s="309">
        <f t="shared" si="21"/>
        <v>1245.5</v>
      </c>
      <c r="J90" s="308">
        <f t="shared" si="21"/>
        <v>1245.5</v>
      </c>
      <c r="K90" s="308">
        <f t="shared" si="22"/>
        <v>1326.7</v>
      </c>
      <c r="L90" s="308">
        <f t="shared" si="22"/>
        <v>1326.7</v>
      </c>
    </row>
    <row r="91" spans="1:12" ht="21" customHeight="1">
      <c r="A91" s="265" t="s">
        <v>373</v>
      </c>
      <c r="B91" s="272"/>
      <c r="C91" s="308">
        <v>580.4</v>
      </c>
      <c r="D91" s="308">
        <v>662.4</v>
      </c>
      <c r="E91" s="309">
        <f t="shared" si="18"/>
        <v>155.3</v>
      </c>
      <c r="F91" s="308">
        <v>652.1</v>
      </c>
      <c r="G91" s="310">
        <f t="shared" si="19"/>
        <v>715.7</v>
      </c>
      <c r="H91" s="308">
        <f t="shared" si="20"/>
        <v>715.7</v>
      </c>
      <c r="I91" s="309">
        <f t="shared" si="21"/>
        <v>786.6</v>
      </c>
      <c r="J91" s="308">
        <f t="shared" si="21"/>
        <v>786.6</v>
      </c>
      <c r="K91" s="308">
        <f t="shared" si="22"/>
        <v>837.9</v>
      </c>
      <c r="L91" s="308">
        <f t="shared" si="22"/>
        <v>837.9</v>
      </c>
    </row>
    <row r="92" spans="1:12" ht="21" customHeight="1">
      <c r="A92" s="265" t="s">
        <v>374</v>
      </c>
      <c r="B92" s="272"/>
      <c r="C92" s="308">
        <v>420.6</v>
      </c>
      <c r="D92" s="308">
        <v>443.1</v>
      </c>
      <c r="E92" s="309">
        <f t="shared" si="18"/>
        <v>100.1</v>
      </c>
      <c r="F92" s="308">
        <v>420.6</v>
      </c>
      <c r="G92" s="310">
        <f t="shared" si="19"/>
        <v>461.6</v>
      </c>
      <c r="H92" s="308">
        <f t="shared" si="20"/>
        <v>461.6</v>
      </c>
      <c r="I92" s="309">
        <f t="shared" si="21"/>
        <v>507.3</v>
      </c>
      <c r="J92" s="308">
        <f t="shared" si="21"/>
        <v>507.3</v>
      </c>
      <c r="K92" s="308">
        <f t="shared" si="22"/>
        <v>540.4</v>
      </c>
      <c r="L92" s="308">
        <f t="shared" si="22"/>
        <v>540.4</v>
      </c>
    </row>
    <row r="93" spans="1:12" ht="21" customHeight="1">
      <c r="A93" s="265" t="s">
        <v>375</v>
      </c>
      <c r="B93" s="272"/>
      <c r="C93" s="308">
        <v>115.9</v>
      </c>
      <c r="D93" s="308">
        <v>255.4</v>
      </c>
      <c r="E93" s="309">
        <f t="shared" si="18"/>
        <v>100.3</v>
      </c>
      <c r="F93" s="308">
        <v>421.1</v>
      </c>
      <c r="G93" s="310">
        <f t="shared" si="19"/>
        <v>462.2</v>
      </c>
      <c r="H93" s="308">
        <f t="shared" si="20"/>
        <v>462.2</v>
      </c>
      <c r="I93" s="309">
        <f t="shared" si="21"/>
        <v>508</v>
      </c>
      <c r="J93" s="308">
        <f t="shared" si="21"/>
        <v>508</v>
      </c>
      <c r="K93" s="308">
        <f t="shared" si="22"/>
        <v>541.1</v>
      </c>
      <c r="L93" s="308">
        <f t="shared" si="22"/>
        <v>541.1</v>
      </c>
    </row>
    <row r="94" spans="1:12" ht="21" customHeight="1">
      <c r="A94" s="265" t="s">
        <v>376</v>
      </c>
      <c r="B94" s="272"/>
      <c r="C94" s="308">
        <v>27.6</v>
      </c>
      <c r="D94" s="308">
        <v>20.7</v>
      </c>
      <c r="E94" s="309">
        <f t="shared" si="18"/>
        <v>10.9</v>
      </c>
      <c r="F94" s="308">
        <v>45.8</v>
      </c>
      <c r="G94" s="310">
        <f t="shared" si="19"/>
        <v>50.3</v>
      </c>
      <c r="H94" s="308">
        <f t="shared" si="20"/>
        <v>50.3</v>
      </c>
      <c r="I94" s="309">
        <f t="shared" si="21"/>
        <v>55.3</v>
      </c>
      <c r="J94" s="308">
        <f t="shared" si="21"/>
        <v>55.3</v>
      </c>
      <c r="K94" s="308">
        <f t="shared" si="22"/>
        <v>58.9</v>
      </c>
      <c r="L94" s="308">
        <f t="shared" si="22"/>
        <v>58.9</v>
      </c>
    </row>
    <row r="95" spans="1:12" ht="21" customHeight="1">
      <c r="A95" s="265" t="s">
        <v>377</v>
      </c>
      <c r="B95" s="272"/>
      <c r="C95" s="308">
        <v>168.7</v>
      </c>
      <c r="D95" s="308">
        <v>159.9</v>
      </c>
      <c r="E95" s="309">
        <f t="shared" si="18"/>
        <v>33</v>
      </c>
      <c r="F95" s="308">
        <v>138.5</v>
      </c>
      <c r="G95" s="310">
        <f t="shared" si="19"/>
        <v>152</v>
      </c>
      <c r="H95" s="308">
        <f t="shared" si="20"/>
        <v>152</v>
      </c>
      <c r="I95" s="309">
        <f t="shared" si="21"/>
        <v>167.1</v>
      </c>
      <c r="J95" s="308">
        <f t="shared" si="21"/>
        <v>167.1</v>
      </c>
      <c r="K95" s="308">
        <f t="shared" si="22"/>
        <v>178</v>
      </c>
      <c r="L95" s="308">
        <f t="shared" si="22"/>
        <v>178</v>
      </c>
    </row>
    <row r="96" spans="1:12" ht="21" customHeight="1">
      <c r="A96" s="265" t="s">
        <v>378</v>
      </c>
      <c r="B96" s="273"/>
      <c r="C96" s="311">
        <v>38.4</v>
      </c>
      <c r="D96" s="311">
        <v>53.7</v>
      </c>
      <c r="E96" s="312">
        <f t="shared" si="18"/>
        <v>13.6</v>
      </c>
      <c r="F96" s="311">
        <v>57.1</v>
      </c>
      <c r="G96" s="310">
        <f t="shared" si="19"/>
        <v>62.7</v>
      </c>
      <c r="H96" s="308">
        <f t="shared" si="20"/>
        <v>62.7</v>
      </c>
      <c r="I96" s="309">
        <f t="shared" si="21"/>
        <v>68.9</v>
      </c>
      <c r="J96" s="308">
        <f t="shared" si="21"/>
        <v>68.9</v>
      </c>
      <c r="K96" s="308">
        <f t="shared" si="22"/>
        <v>73.4</v>
      </c>
      <c r="L96" s="308">
        <f t="shared" si="22"/>
        <v>73.4</v>
      </c>
    </row>
    <row r="97" spans="1:12" ht="20.25" customHeight="1">
      <c r="A97" s="274"/>
      <c r="B97" s="272"/>
      <c r="C97" s="296"/>
      <c r="D97" s="296"/>
      <c r="E97" s="313"/>
      <c r="F97" s="296"/>
      <c r="G97" s="314"/>
      <c r="H97" s="296"/>
      <c r="I97" s="313"/>
      <c r="J97" s="296"/>
      <c r="K97" s="313"/>
      <c r="L97" s="296"/>
    </row>
    <row r="98" spans="1:12" ht="23.25" customHeight="1">
      <c r="A98" s="275" t="s">
        <v>383</v>
      </c>
      <c r="B98" s="264"/>
      <c r="C98" s="301"/>
      <c r="D98" s="301"/>
      <c r="E98" s="301"/>
      <c r="F98" s="301"/>
      <c r="G98" s="301"/>
      <c r="H98" s="301"/>
      <c r="I98" s="301"/>
      <c r="J98" s="301"/>
      <c r="K98" s="301"/>
      <c r="L98" s="301"/>
    </row>
    <row r="99" spans="1:13" ht="78.75">
      <c r="A99" s="231" t="s">
        <v>384</v>
      </c>
      <c r="B99" s="232" t="s">
        <v>385</v>
      </c>
      <c r="C99" s="315">
        <v>8003.3</v>
      </c>
      <c r="D99" s="315">
        <v>11158.3</v>
      </c>
      <c r="E99" s="315">
        <v>2863.96</v>
      </c>
      <c r="F99" s="315">
        <v>12028.65</v>
      </c>
      <c r="G99" s="315">
        <v>13015</v>
      </c>
      <c r="H99" s="315">
        <v>13015</v>
      </c>
      <c r="I99" s="315">
        <v>13939.06</v>
      </c>
      <c r="J99" s="315">
        <v>13939.06</v>
      </c>
      <c r="K99" s="315">
        <v>14845.1</v>
      </c>
      <c r="L99" s="315">
        <v>14845.1</v>
      </c>
      <c r="M99" s="246"/>
    </row>
    <row r="100" spans="1:13" ht="30">
      <c r="A100" s="233" t="s">
        <v>386</v>
      </c>
      <c r="B100" s="234" t="s">
        <v>387</v>
      </c>
      <c r="C100" s="301"/>
      <c r="D100" s="301"/>
      <c r="E100" s="301"/>
      <c r="F100" s="301"/>
      <c r="G100" s="301"/>
      <c r="H100" s="301"/>
      <c r="I100" s="301"/>
      <c r="J100" s="301"/>
      <c r="K100" s="301"/>
      <c r="L100" s="301"/>
      <c r="M100" s="246"/>
    </row>
    <row r="101" spans="1:13" ht="15">
      <c r="A101" s="233" t="s">
        <v>388</v>
      </c>
      <c r="B101" s="235" t="s">
        <v>389</v>
      </c>
      <c r="C101" s="316">
        <v>16060</v>
      </c>
      <c r="D101" s="316">
        <v>22224</v>
      </c>
      <c r="E101" s="317">
        <v>0</v>
      </c>
      <c r="F101" s="316">
        <v>23495</v>
      </c>
      <c r="G101" s="316">
        <v>21600</v>
      </c>
      <c r="H101" s="316">
        <v>24200</v>
      </c>
      <c r="I101" s="316">
        <v>22350</v>
      </c>
      <c r="J101" s="316">
        <v>25500</v>
      </c>
      <c r="K101" s="316">
        <v>23450</v>
      </c>
      <c r="L101" s="316">
        <v>26300</v>
      </c>
      <c r="M101" s="246"/>
    </row>
    <row r="102" spans="1:13" ht="15">
      <c r="A102" s="233" t="s">
        <v>390</v>
      </c>
      <c r="B102" s="235" t="s">
        <v>389</v>
      </c>
      <c r="C102" s="316">
        <v>4554</v>
      </c>
      <c r="D102" s="316">
        <v>5496</v>
      </c>
      <c r="E102" s="316">
        <v>0</v>
      </c>
      <c r="F102" s="316">
        <v>11211</v>
      </c>
      <c r="G102" s="316">
        <v>12250</v>
      </c>
      <c r="H102" s="316">
        <v>15300</v>
      </c>
      <c r="I102" s="316">
        <v>14250</v>
      </c>
      <c r="J102" s="316">
        <v>17500</v>
      </c>
      <c r="K102" s="316">
        <v>16250</v>
      </c>
      <c r="L102" s="316">
        <v>17500</v>
      </c>
      <c r="M102" s="246"/>
    </row>
    <row r="103" spans="1:13" ht="15">
      <c r="A103" s="233" t="s">
        <v>391</v>
      </c>
      <c r="B103" s="235" t="s">
        <v>389</v>
      </c>
      <c r="C103" s="316">
        <v>28145</v>
      </c>
      <c r="D103" s="316">
        <v>29495</v>
      </c>
      <c r="E103" s="316">
        <v>7850</v>
      </c>
      <c r="F103" s="316">
        <v>28630</v>
      </c>
      <c r="G103" s="316">
        <v>28650</v>
      </c>
      <c r="H103" s="316">
        <v>30000</v>
      </c>
      <c r="I103" s="316">
        <v>28700</v>
      </c>
      <c r="J103" s="316">
        <v>31000</v>
      </c>
      <c r="K103" s="316">
        <v>28700</v>
      </c>
      <c r="L103" s="316">
        <v>32000</v>
      </c>
      <c r="M103" s="246"/>
    </row>
    <row r="104" spans="1:13" ht="15">
      <c r="A104" s="233" t="s">
        <v>392</v>
      </c>
      <c r="B104" s="235" t="s">
        <v>389</v>
      </c>
      <c r="C104" s="316">
        <v>38793</v>
      </c>
      <c r="D104" s="316">
        <v>37566</v>
      </c>
      <c r="E104" s="316">
        <v>10200</v>
      </c>
      <c r="F104" s="316">
        <v>36240</v>
      </c>
      <c r="G104" s="316">
        <v>36250</v>
      </c>
      <c r="H104" s="316">
        <v>38000</v>
      </c>
      <c r="I104" s="316">
        <v>38000</v>
      </c>
      <c r="J104" s="316">
        <v>42000</v>
      </c>
      <c r="K104" s="316">
        <v>42000</v>
      </c>
      <c r="L104" s="316">
        <v>44000</v>
      </c>
      <c r="M104" s="246"/>
    </row>
    <row r="105" spans="1:13" ht="15">
      <c r="A105" s="233" t="s">
        <v>393</v>
      </c>
      <c r="B105" s="235" t="s">
        <v>394</v>
      </c>
      <c r="C105" s="317">
        <v>37.3</v>
      </c>
      <c r="D105" s="317">
        <v>23.5</v>
      </c>
      <c r="E105" s="317">
        <v>5.8</v>
      </c>
      <c r="F105" s="316">
        <v>23.4</v>
      </c>
      <c r="G105" s="316">
        <v>23.5</v>
      </c>
      <c r="H105" s="316">
        <v>25</v>
      </c>
      <c r="I105" s="316">
        <v>23.5</v>
      </c>
      <c r="J105" s="316">
        <v>25</v>
      </c>
      <c r="K105" s="316">
        <v>23.5</v>
      </c>
      <c r="L105" s="316">
        <v>31</v>
      </c>
      <c r="M105" s="246"/>
    </row>
    <row r="106" spans="1:13" ht="21.75" customHeight="1">
      <c r="A106" s="236" t="s">
        <v>395</v>
      </c>
      <c r="B106" s="237"/>
      <c r="C106" s="298"/>
      <c r="D106" s="298"/>
      <c r="E106" s="298"/>
      <c r="F106" s="298"/>
      <c r="G106" s="298"/>
      <c r="H106" s="298"/>
      <c r="I106" s="298"/>
      <c r="J106" s="298"/>
      <c r="K106" s="298"/>
      <c r="L106" s="298"/>
      <c r="M106" s="246"/>
    </row>
    <row r="107" spans="1:13" ht="79.5" customHeight="1">
      <c r="A107" s="238" t="s">
        <v>396</v>
      </c>
      <c r="B107" s="232" t="s">
        <v>385</v>
      </c>
      <c r="C107" s="318">
        <v>498</v>
      </c>
      <c r="D107" s="318">
        <v>591.1</v>
      </c>
      <c r="E107" s="318">
        <v>142.4</v>
      </c>
      <c r="F107" s="318">
        <v>589.3</v>
      </c>
      <c r="G107" s="318">
        <v>2437</v>
      </c>
      <c r="H107" s="318">
        <v>2437</v>
      </c>
      <c r="I107" s="318">
        <v>2559</v>
      </c>
      <c r="J107" s="318">
        <v>2559</v>
      </c>
      <c r="K107" s="318">
        <v>2687</v>
      </c>
      <c r="L107" s="318">
        <v>2687</v>
      </c>
      <c r="M107" s="246"/>
    </row>
    <row r="108" spans="1:13" ht="15">
      <c r="A108" s="233" t="s">
        <v>397</v>
      </c>
      <c r="B108" s="235" t="s">
        <v>398</v>
      </c>
      <c r="C108" s="319">
        <v>24.7</v>
      </c>
      <c r="D108" s="319">
        <v>117.29</v>
      </c>
      <c r="E108" s="241">
        <v>0</v>
      </c>
      <c r="F108" s="241">
        <v>100</v>
      </c>
      <c r="G108" s="241">
        <v>100</v>
      </c>
      <c r="H108" s="241">
        <v>100</v>
      </c>
      <c r="I108" s="241">
        <v>100</v>
      </c>
      <c r="J108" s="241">
        <v>100</v>
      </c>
      <c r="K108" s="241">
        <v>100</v>
      </c>
      <c r="L108" s="241">
        <v>100</v>
      </c>
      <c r="M108" s="246"/>
    </row>
    <row r="109" spans="1:13" ht="21" customHeight="1">
      <c r="A109" s="239" t="s">
        <v>399</v>
      </c>
      <c r="B109" s="235" t="s">
        <v>400</v>
      </c>
      <c r="C109" s="320" t="s">
        <v>400</v>
      </c>
      <c r="D109" s="320" t="s">
        <v>400</v>
      </c>
      <c r="E109" s="320" t="s">
        <v>400</v>
      </c>
      <c r="F109" s="320" t="s">
        <v>400</v>
      </c>
      <c r="G109" s="320" t="s">
        <v>400</v>
      </c>
      <c r="H109" s="320" t="s">
        <v>400</v>
      </c>
      <c r="I109" s="320" t="s">
        <v>400</v>
      </c>
      <c r="J109" s="320" t="s">
        <v>400</v>
      </c>
      <c r="K109" s="320" t="s">
        <v>400</v>
      </c>
      <c r="L109" s="320" t="s">
        <v>400</v>
      </c>
      <c r="M109" s="246"/>
    </row>
    <row r="110" spans="1:13" ht="15">
      <c r="A110" s="239" t="s">
        <v>401</v>
      </c>
      <c r="B110" s="234" t="s">
        <v>385</v>
      </c>
      <c r="C110" s="241">
        <v>44</v>
      </c>
      <c r="D110" s="241">
        <v>111.6</v>
      </c>
      <c r="E110" s="241">
        <v>26.9</v>
      </c>
      <c r="F110" s="241">
        <v>112.9</v>
      </c>
      <c r="G110" s="241">
        <v>114.8</v>
      </c>
      <c r="H110" s="241">
        <v>114.8</v>
      </c>
      <c r="I110" s="241">
        <v>115.5</v>
      </c>
      <c r="J110" s="241">
        <v>115.5</v>
      </c>
      <c r="K110" s="241">
        <v>116.5</v>
      </c>
      <c r="L110" s="241">
        <v>116.5</v>
      </c>
      <c r="M110" s="246"/>
    </row>
    <row r="111" spans="1:13" ht="15">
      <c r="A111" s="239" t="s">
        <v>402</v>
      </c>
      <c r="B111" s="234" t="s">
        <v>385</v>
      </c>
      <c r="C111" s="241">
        <v>191</v>
      </c>
      <c r="D111" s="241">
        <v>247.5</v>
      </c>
      <c r="E111" s="241">
        <v>59.6</v>
      </c>
      <c r="F111" s="241">
        <v>250.5</v>
      </c>
      <c r="G111" s="241">
        <v>254.8</v>
      </c>
      <c r="H111" s="241">
        <v>254.8</v>
      </c>
      <c r="I111" s="241">
        <v>256.3</v>
      </c>
      <c r="J111" s="241">
        <v>256.3</v>
      </c>
      <c r="K111" s="241">
        <v>258.6</v>
      </c>
      <c r="L111" s="241">
        <v>258.6</v>
      </c>
      <c r="M111" s="246"/>
    </row>
    <row r="112" spans="1:13" ht="15">
      <c r="A112" s="239" t="s">
        <v>403</v>
      </c>
      <c r="B112" s="234" t="s">
        <v>385</v>
      </c>
      <c r="C112" s="241">
        <v>8</v>
      </c>
      <c r="D112" s="241">
        <v>41.3</v>
      </c>
      <c r="E112" s="241">
        <v>9.9</v>
      </c>
      <c r="F112" s="241">
        <v>41.8</v>
      </c>
      <c r="G112" s="241">
        <v>42.5</v>
      </c>
      <c r="H112" s="241">
        <v>42.5</v>
      </c>
      <c r="I112" s="241">
        <v>42.8</v>
      </c>
      <c r="J112" s="241">
        <v>42.8</v>
      </c>
      <c r="K112" s="241">
        <v>43.2</v>
      </c>
      <c r="L112" s="241">
        <v>43.2</v>
      </c>
      <c r="M112" s="246"/>
    </row>
    <row r="113" spans="1:13" ht="15">
      <c r="A113" s="239" t="s">
        <v>404</v>
      </c>
      <c r="B113" s="234" t="s">
        <v>385</v>
      </c>
      <c r="C113" s="241">
        <v>198</v>
      </c>
      <c r="D113" s="241">
        <v>147.2</v>
      </c>
      <c r="E113" s="319">
        <v>35.5</v>
      </c>
      <c r="F113" s="241">
        <v>149</v>
      </c>
      <c r="G113" s="241">
        <v>151.5</v>
      </c>
      <c r="H113" s="241">
        <v>151.5</v>
      </c>
      <c r="I113" s="241">
        <v>152.4</v>
      </c>
      <c r="J113" s="241">
        <v>152.4</v>
      </c>
      <c r="K113" s="241">
        <v>153.8</v>
      </c>
      <c r="L113" s="241">
        <v>153.8</v>
      </c>
      <c r="M113" s="246"/>
    </row>
    <row r="114" spans="1:13" ht="15" customHeight="1">
      <c r="A114" s="233" t="s">
        <v>405</v>
      </c>
      <c r="B114" s="234" t="s">
        <v>385</v>
      </c>
      <c r="C114" s="240">
        <v>262</v>
      </c>
      <c r="D114" s="241">
        <v>242</v>
      </c>
      <c r="E114" s="241">
        <v>58.3</v>
      </c>
      <c r="F114" s="241">
        <v>244.9</v>
      </c>
      <c r="G114" s="241">
        <v>249.1</v>
      </c>
      <c r="H114" s="241">
        <v>249.1</v>
      </c>
      <c r="I114" s="241">
        <v>250.6</v>
      </c>
      <c r="J114" s="241">
        <v>250.6</v>
      </c>
      <c r="K114" s="241">
        <v>252.8</v>
      </c>
      <c r="L114" s="241">
        <v>252.8</v>
      </c>
      <c r="M114" s="246"/>
    </row>
    <row r="115" spans="1:13" ht="14.25">
      <c r="A115" s="276"/>
      <c r="B115" s="242"/>
      <c r="C115" s="301"/>
      <c r="D115" s="301"/>
      <c r="E115" s="301"/>
      <c r="F115" s="301"/>
      <c r="G115" s="301"/>
      <c r="H115" s="301"/>
      <c r="I115" s="301"/>
      <c r="J115" s="301"/>
      <c r="K115" s="301"/>
      <c r="L115" s="301"/>
      <c r="M115" s="246"/>
    </row>
    <row r="116" spans="1:12" ht="14.25">
      <c r="A116" s="277"/>
      <c r="B116" s="278"/>
      <c r="C116" s="295"/>
      <c r="D116" s="295"/>
      <c r="E116" s="295"/>
      <c r="F116" s="295"/>
      <c r="G116" s="295"/>
      <c r="H116" s="295"/>
      <c r="I116" s="295"/>
      <c r="J116" s="295"/>
      <c r="K116" s="295"/>
      <c r="L116" s="295"/>
    </row>
    <row r="117" spans="1:12" ht="15">
      <c r="A117" s="279"/>
      <c r="G117" s="295"/>
      <c r="H117" s="295"/>
      <c r="I117" s="295"/>
      <c r="J117" s="295"/>
      <c r="K117" s="295"/>
      <c r="L117" s="295"/>
    </row>
    <row r="118" spans="1:12" ht="15">
      <c r="A118" s="279"/>
      <c r="G118" s="295"/>
      <c r="H118" s="295"/>
      <c r="I118" s="295"/>
      <c r="J118" s="295"/>
      <c r="K118" s="295"/>
      <c r="L118" s="295"/>
    </row>
    <row r="119" spans="1:12" ht="18">
      <c r="A119" s="280"/>
      <c r="B119" s="281"/>
      <c r="C119" s="295"/>
      <c r="D119" s="295"/>
      <c r="E119" s="295"/>
      <c r="F119" s="295"/>
      <c r="G119" s="295"/>
      <c r="H119" s="295"/>
      <c r="I119" s="295"/>
      <c r="J119" s="295"/>
      <c r="K119" s="295"/>
      <c r="L119" s="295"/>
    </row>
    <row r="120" spans="1:12" ht="18">
      <c r="A120" s="282"/>
      <c r="B120" s="283"/>
      <c r="C120" s="295"/>
      <c r="D120" s="295"/>
      <c r="E120" s="295"/>
      <c r="F120" s="295"/>
      <c r="G120" s="295"/>
      <c r="H120" s="295"/>
      <c r="I120" s="295"/>
      <c r="J120" s="295"/>
      <c r="K120" s="295"/>
      <c r="L120" s="295"/>
    </row>
    <row r="121" spans="1:12" ht="18">
      <c r="A121" s="282"/>
      <c r="B121" s="283"/>
      <c r="C121" s="295"/>
      <c r="D121" s="295"/>
      <c r="E121" s="295"/>
      <c r="F121" s="295"/>
      <c r="G121" s="295"/>
      <c r="H121" s="295"/>
      <c r="I121" s="295"/>
      <c r="J121" s="295"/>
      <c r="K121" s="295"/>
      <c r="L121" s="295"/>
    </row>
    <row r="122" spans="1:12" ht="24.75" customHeight="1">
      <c r="A122" s="284"/>
      <c r="B122" s="283"/>
      <c r="C122" s="295"/>
      <c r="D122" s="295"/>
      <c r="E122" s="295"/>
      <c r="F122" s="295"/>
      <c r="G122" s="295"/>
      <c r="H122" s="295"/>
      <c r="I122" s="295"/>
      <c r="J122" s="295"/>
      <c r="K122" s="295"/>
      <c r="L122" s="295"/>
    </row>
    <row r="123" spans="1:12" ht="15" customHeight="1">
      <c r="A123" s="285"/>
      <c r="B123" s="281"/>
      <c r="C123" s="295"/>
      <c r="D123" s="295"/>
      <c r="E123" s="321"/>
      <c r="F123" s="295"/>
      <c r="G123" s="295"/>
      <c r="H123" s="321"/>
      <c r="I123" s="295"/>
      <c r="J123" s="295"/>
      <c r="K123" s="295"/>
      <c r="L123" s="295"/>
    </row>
    <row r="130" ht="15">
      <c r="A130" s="279"/>
    </row>
    <row r="131" spans="1:12" ht="15" customHeight="1">
      <c r="A131" s="286"/>
      <c r="B131" s="247"/>
      <c r="C131" s="248"/>
      <c r="D131" s="248"/>
      <c r="E131" s="248"/>
      <c r="F131" s="248"/>
      <c r="G131" s="248"/>
      <c r="H131" s="248"/>
      <c r="I131" s="248"/>
      <c r="J131" s="248"/>
      <c r="K131" s="248"/>
      <c r="L131" s="248"/>
    </row>
    <row r="132" spans="1:12" ht="15" customHeight="1">
      <c r="A132" s="287"/>
      <c r="B132" s="247"/>
      <c r="C132" s="248"/>
      <c r="D132" s="248"/>
      <c r="E132" s="248"/>
      <c r="F132" s="248"/>
      <c r="G132" s="248"/>
      <c r="H132" s="248"/>
      <c r="I132" s="248"/>
      <c r="J132" s="248"/>
      <c r="K132" s="248"/>
      <c r="L132" s="248"/>
    </row>
    <row r="133" spans="1:3" ht="18">
      <c r="A133" s="282"/>
      <c r="B133" s="283"/>
      <c r="C133" s="295"/>
    </row>
    <row r="136" spans="1:3" ht="18">
      <c r="A136" s="288"/>
      <c r="B136" s="289"/>
      <c r="C136" s="295"/>
    </row>
    <row r="137" spans="1:3" ht="18">
      <c r="A137" s="288"/>
      <c r="B137" s="289"/>
      <c r="C137" s="295"/>
    </row>
  </sheetData>
  <mergeCells count="8">
    <mergeCell ref="G6:H6"/>
    <mergeCell ref="I6:J6"/>
    <mergeCell ref="K6:L6"/>
    <mergeCell ref="I1:K1"/>
    <mergeCell ref="A3:L3"/>
    <mergeCell ref="A4:L4"/>
    <mergeCell ref="E5:F5"/>
    <mergeCell ref="G5:L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zayakina</cp:lastModifiedBy>
  <cp:lastPrinted>2012-10-22T03:25:50Z</cp:lastPrinted>
  <dcterms:created xsi:type="dcterms:W3CDTF">1996-10-08T23:32:33Z</dcterms:created>
  <dcterms:modified xsi:type="dcterms:W3CDTF">2012-10-22T03:26:39Z</dcterms:modified>
  <cp:category/>
  <cp:version/>
  <cp:contentType/>
  <cp:contentStatus/>
</cp:coreProperties>
</file>