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3245" windowHeight="699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-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-20" sheetId="14" r:id="rId14"/>
    <sheet name="16" sheetId="15" r:id="rId15"/>
    <sheet name="17" sheetId="16" r:id="rId16"/>
    <sheet name="18-19" sheetId="17" r:id="rId17"/>
  </sheets>
  <externalReferences>
    <externalReference r:id="rId20"/>
  </externalReferences>
  <definedNames>
    <definedName name="_xlnm._FilterDatabase" localSheetId="8" hidden="1">'10'!$A$6:$E$697</definedName>
    <definedName name="_xlnm._FilterDatabase" localSheetId="6" hidden="1">'8'!$A$7:$E$571</definedName>
  </definedNames>
  <calcPr fullCalcOnLoad="1"/>
</workbook>
</file>

<file path=xl/sharedStrings.xml><?xml version="1.0" encoding="utf-8"?>
<sst xmlns="http://schemas.openxmlformats.org/spreadsheetml/2006/main" count="3851" uniqueCount="1214">
  <si>
    <t>Итого расходов</t>
  </si>
  <si>
    <t>0801</t>
  </si>
  <si>
    <t>750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</si>
  <si>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</si>
  <si>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0412</t>
  </si>
  <si>
    <t>0702</t>
  </si>
  <si>
    <t>0501</t>
  </si>
  <si>
    <t>0104</t>
  </si>
  <si>
    <t>240</t>
  </si>
  <si>
    <t>1101</t>
  </si>
  <si>
    <t>Обеспечение мероприятий по переселению граждан из аварийного  жилищного фонда</t>
  </si>
  <si>
    <t>0106</t>
  </si>
  <si>
    <t>0701</t>
  </si>
  <si>
    <t>Выполнение функций заказчика по строительству объектов</t>
  </si>
  <si>
    <t>521 08 00</t>
  </si>
  <si>
    <t>0505</t>
  </si>
  <si>
    <t>1003</t>
  </si>
  <si>
    <t>Изменения в распределение бюджетных ассигнований на 2013 год по разделам и подразделам, целевым статьям и видам расходов классификации расходов бюджета</t>
  </si>
  <si>
    <t>Раздел, подраздел</t>
  </si>
  <si>
    <t>Целевая статья</t>
  </si>
  <si>
    <t>Вид расходов</t>
  </si>
  <si>
    <t>Наименование расходов</t>
  </si>
  <si>
    <t>Сумма, тыс.руб.</t>
  </si>
  <si>
    <t>1</t>
  </si>
  <si>
    <t>2</t>
  </si>
  <si>
    <t>3</t>
  </si>
  <si>
    <t>0100</t>
  </si>
  <si>
    <t>Общегосударственные вопросы</t>
  </si>
  <si>
    <t>002 00 00</t>
  </si>
  <si>
    <t>Руководство и управление в сфере установленных функций органов местного самоуправления</t>
  </si>
  <si>
    <t>002 04 00</t>
  </si>
  <si>
    <t>Центральный аппарат</t>
  </si>
  <si>
    <t>002 04 01</t>
  </si>
  <si>
    <t>Содержание аппарата</t>
  </si>
  <si>
    <t>0400</t>
  </si>
  <si>
    <t>Национальная  экономика</t>
  </si>
  <si>
    <t>Другие вопросы в области национальной экономики</t>
  </si>
  <si>
    <t>521 00 00</t>
  </si>
  <si>
    <t>Межбюджетные трансферты</t>
  </si>
  <si>
    <t>521 06 00</t>
  </si>
  <si>
    <t>Межбюджетные трансферты из бюджета поселения бюджету муниципального района в соответствии с заключенными соглашениями</t>
  </si>
  <si>
    <t>0500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</si>
  <si>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</si>
  <si>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</si>
  <si>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 жилищного фонда</t>
  </si>
  <si>
    <t>Бюджетные инвестиции</t>
  </si>
  <si>
    <t>098 02 00</t>
  </si>
  <si>
    <t>Обеспечение мероприятий по капитальному ремонту многоквартирных домов и переселению граждан из аварийного  жилищного фонда за счет средств бюджетов</t>
  </si>
  <si>
    <t>Обеспечение мероприятий по переселению граждан из аварийного жилищного фонда за счет средств бюджетов</t>
  </si>
  <si>
    <t>Другие вопросы в области жилищно-коммунального хозяйства</t>
  </si>
  <si>
    <t>0700</t>
  </si>
  <si>
    <t>Образование</t>
  </si>
  <si>
    <t>Дошкольное образование</t>
  </si>
  <si>
    <t>Общее образование</t>
  </si>
  <si>
    <t>795 00 00</t>
  </si>
  <si>
    <t>Целевые программы муниципальных образований</t>
  </si>
  <si>
    <t>795 10 00</t>
  </si>
  <si>
    <t>Целевые программы Пермского муниципального района</t>
  </si>
  <si>
    <t>795 10 03</t>
  </si>
  <si>
    <t>0800</t>
  </si>
  <si>
    <t>0900</t>
  </si>
  <si>
    <t>0901</t>
  </si>
  <si>
    <t>Стационарная медицинская помощь</t>
  </si>
  <si>
    <t>1000</t>
  </si>
  <si>
    <t>Социальная политика</t>
  </si>
  <si>
    <t>Социальное обеспечение населения</t>
  </si>
  <si>
    <t>505 00 00</t>
  </si>
  <si>
    <t>Социальная помощь</t>
  </si>
  <si>
    <t>1100</t>
  </si>
  <si>
    <t>Физическая культура и спорт</t>
  </si>
  <si>
    <t>Физическая культура</t>
  </si>
  <si>
    <t>500</t>
  </si>
  <si>
    <t>местный бюджет</t>
  </si>
  <si>
    <t>программы</t>
  </si>
  <si>
    <t>субвенция</t>
  </si>
  <si>
    <t>межбюд. поселения</t>
  </si>
  <si>
    <t>520 00 00</t>
  </si>
  <si>
    <t>Иные безвозмездные и безвозвратные перечисления</t>
  </si>
  <si>
    <t>521 02 00</t>
  </si>
  <si>
    <t>Финансовое обеспечение переданных органам местного самоуправления государственных полномочий</t>
  </si>
  <si>
    <t>0113</t>
  </si>
  <si>
    <t>Другие общегосударственные вопросы</t>
  </si>
  <si>
    <t>092 00 00</t>
  </si>
  <si>
    <t>Реализация функций, связанных с муниципальным управлением</t>
  </si>
  <si>
    <t>092 03 00</t>
  </si>
  <si>
    <t>Выполнение других обязательств государства</t>
  </si>
  <si>
    <t>0405</t>
  </si>
  <si>
    <t>Сельское хозяйство и рыболовство</t>
  </si>
  <si>
    <t>Мероприятия в области строительства, архитектуры и градостроительства</t>
  </si>
  <si>
    <t>338 01 00</t>
  </si>
  <si>
    <t>Мероприятия в области застройки территории</t>
  </si>
  <si>
    <t>340 00 00</t>
  </si>
  <si>
    <t>Реализация  функций в области национальной экономики</t>
  </si>
  <si>
    <t>340 03 00</t>
  </si>
  <si>
    <t>Мероприятия по землеустройству и землепользованию</t>
  </si>
  <si>
    <t>521 06 16</t>
  </si>
  <si>
    <t>521 06 22</t>
  </si>
  <si>
    <t>Подготовка градостроительных планов земельных участков поселений</t>
  </si>
  <si>
    <t>0502</t>
  </si>
  <si>
    <t>Коммунальное хозяйство</t>
  </si>
  <si>
    <t>Иные межбюджетные трансферты</t>
  </si>
  <si>
    <t>Оснащение многоквартирных домов приборами учета</t>
  </si>
  <si>
    <t>521 07 00</t>
  </si>
  <si>
    <t>Межбюджетные трансферты из бюджетов поселений бюджету муниципального района в соответствии с заключенными соглашениями в финансировании инвестиционных проектов</t>
  </si>
  <si>
    <t>Распределительные уличные газопроводы с.Юг Пермского муниципального района</t>
  </si>
  <si>
    <t>522 00 00</t>
  </si>
  <si>
    <t>Региональные целевые программы</t>
  </si>
  <si>
    <t>Выполнение функций заказчика по капитальному ремонту многоквартирных домов и по переселению граждан из аварийного жилищного фонда</t>
  </si>
  <si>
    <t>521 06 46</t>
  </si>
  <si>
    <t>Выполнение функций по оснащению многоквартирных домов приборами учета</t>
  </si>
  <si>
    <t>420 00 00</t>
  </si>
  <si>
    <t>Детские дошкольные учреждения</t>
  </si>
  <si>
    <t>521 02 11</t>
  </si>
  <si>
    <t>Обеспечение государственных гарантий 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</si>
  <si>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Обеспечение деятельности подведомственных учреждений</t>
  </si>
  <si>
    <t>Содержание учреждений</t>
  </si>
  <si>
    <t>795 10 08</t>
  </si>
  <si>
    <t>Долгосрочная целевая программа "Обеспечение жильем молодых семей в Пермском муниципальном районе на 2011-2015 годы"</t>
  </si>
  <si>
    <t>1004</t>
  </si>
  <si>
    <t>Охрана семьи и детства</t>
  </si>
  <si>
    <t>540</t>
  </si>
  <si>
    <t>120</t>
  </si>
  <si>
    <t>Средства на исполнение решений судов, вступивших в законную силу, и оплату государственной пошлины</t>
  </si>
  <si>
    <t>0309</t>
  </si>
  <si>
    <t>0409</t>
  </si>
  <si>
    <t>410</t>
  </si>
  <si>
    <t>Организация  проведения текущего и капитального ремонта дорог, мостов</t>
  </si>
  <si>
    <t>810</t>
  </si>
  <si>
    <t>320</t>
  </si>
  <si>
    <t>755</t>
  </si>
  <si>
    <t>757</t>
  </si>
  <si>
    <t>620</t>
  </si>
  <si>
    <t>610</t>
  </si>
  <si>
    <t>163</t>
  </si>
  <si>
    <t/>
  </si>
  <si>
    <t>703</t>
  </si>
  <si>
    <t>706</t>
  </si>
  <si>
    <t>733</t>
  </si>
  <si>
    <t>Софинансирование капитального ремонта и ремонта автомобильных дорог общего пользования населенных пунктов поселений Пермского района</t>
  </si>
  <si>
    <t>Организация проведения капитального ремонта систем коммунального комплекса</t>
  </si>
  <si>
    <t>Программа Правительства Пермского края по повышению эффективности бюджетных расходов на период до 2013 года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</si>
  <si>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</si>
  <si>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оказания медицинской помощи на территории Пермского края</t>
  </si>
  <si>
    <t>774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</si>
  <si>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</si>
  <si>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Выполнение функций по подготовке и согласованию генеральных планов, правил землепользования и застройки сельских поселений</t>
  </si>
  <si>
    <t>Выполнение части функций по организации благоустройства и озеленения территории сельских поселений</t>
  </si>
  <si>
    <t>Государственная поддержка, предоставляемая местным бюджетам на объекты капитального строительства муниципальной собственности</t>
  </si>
  <si>
    <t>Генеральный план Бершетского сельского поселения Пермского муниципального района Пермского края с генеральными планами для 2 населенных пкнктов  и Правил землепользования и застройки поселения</t>
  </si>
  <si>
    <t>Генеральный план Гамовского сельского поселения Пермского муниципального района Пермского края с генеральными планами для 2 населенных пунктов и Правил землепользования и застройки поселения</t>
  </si>
  <si>
    <t>Генеральный план Заболотского  сельского поселения Пермского муниципального района Пермского края с генеральными планами для 6 населенных пунктов и Правил землепользования и застройки поселения</t>
  </si>
  <si>
    <t>Генеральный план Кондратовского сельского поселения Пермского муниципального района Пермского края с генеральными планами для 3 населенных пунктов и Правил землепользования  и застройки поселения</t>
  </si>
  <si>
    <t>Генеральный план Кояновского  сельского поселения Пермского муниципального района Пермского края с генеральным планом для с. Кояново и Правил землепользования и застройки поселения</t>
  </si>
  <si>
    <t>Генеральный план Кукуштанского  сельского поселения Пермского муниципального района Пермского края с генеральными планами для 3 населенных пунктов и Правил землепользования и застройки поселения</t>
  </si>
  <si>
    <t>Генерального плана Лобановского сельского поселения Пермского муниципального района Пермского края с генеральными планами для 6 населенных пунктов и Правил землепользования и застройки поселения</t>
  </si>
  <si>
    <t>Генеральный план Мулянского сельского поселения Пермского муниципального района Пермского края с генеральными планами для 3 населенных пунктов и Правил землепользования и застройки поселения</t>
  </si>
  <si>
    <t>Генеральный план Платошинского сельского поселения Пермского муниципального района Пермского края с генеральными планами для 4 населенных пунктов и Правил землепользования и застройки поселения</t>
  </si>
  <si>
    <t>Генеральный план Хохловского сельского поселения Пермского муниципального района Пермского края  с генеральными планами для 10 населенных пунктов и Правил землепользования и застройки поселения</t>
  </si>
  <si>
    <t>Подготовка проектов планировки территорий, проектов межевания</t>
  </si>
  <si>
    <t>Генеральный план Усть-Качкинского  сельского поселения Пермского муниципального района Пермского края, с генеральными планами для перспективных (7) населенных пунктов и Правил землепользования и застройки поселения</t>
  </si>
  <si>
    <t>Генеральный план Пальниковского сельского поселения Пермского муниципального района Пермского края с генеральными планами для 4 населенных пунктов и правил землепользования и застройки поселения"</t>
  </si>
  <si>
    <t>Генеральный план, правила землепользования и застройки Савинского сельского поселения</t>
  </si>
  <si>
    <t>Генеральный план Юго-Камского  сельского поселения Пермского муниципального района Пермского края с генеральными планами для 7 населенных пунктов и Правил землепользования и застройки поселения</t>
  </si>
  <si>
    <t>Генеральный план Сылвенского сельского поселения Пермского муниципального района Пермского края  с генеральными планами для 6 населенных пунктов и Правил землепользования и застройки поселения</t>
  </si>
  <si>
    <t>Строительство подросткового клуба в д.Песьянка</t>
  </si>
  <si>
    <t>Газопровод к котельной в д.Няшино Фроловского сельского поселения</t>
  </si>
  <si>
    <t>Реализация региональных проектов</t>
  </si>
  <si>
    <t>Проектирование и строительство (реконструкция) автомобильных дорог общего пользования местного значения, находящихся на территории Пермского края, с твердым покрытием до сельских населенных пунктов, не имеющих круглогодичной связи с сетью автомобильных дорог общего пользования</t>
  </si>
  <si>
    <t>Стимулирование перехода сельскохозяйственных товаропроизводителей на уплату единого сельскохозяйственного налога (поселениям Пермского края)</t>
  </si>
  <si>
    <t>Обеспечение жильем отдельных категорий граждан, установленных ФЗ от 12.01.1995 № 5-ФЗ "О ветеранах", в соответствии с Указом Президента РФ от 07.05.2008 "714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</si>
  <si>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ФЗ от 12.01.1995 № 5-ФЗ "О ветеранах" и от 24.11.1995 №181-ФЗ "О социальной защите инвалидов в Российской Федерации"</t>
  </si>
  <si>
    <t>Долгосрочная целевая программа "Обеспечение жильем молодых семей в Пермском крае на 2011-2015 годы"</t>
  </si>
  <si>
    <t>782</t>
  </si>
  <si>
    <t>перераспр</t>
  </si>
  <si>
    <t>521 07 01</t>
  </si>
  <si>
    <t>521 07 33</t>
  </si>
  <si>
    <t>521 01 01</t>
  </si>
  <si>
    <t>521 01 02</t>
  </si>
  <si>
    <t>315 10 00</t>
  </si>
  <si>
    <t xml:space="preserve">098 02 02 </t>
  </si>
  <si>
    <t>521 06 09</t>
  </si>
  <si>
    <t>521 06 13</t>
  </si>
  <si>
    <t>ост.2012</t>
  </si>
  <si>
    <t>Комитет имущественных отношений администрации Пермского муниципального района</t>
  </si>
  <si>
    <t>Обеспечение предоставления жилых помещений детям-сиротам и детям, оставшимся без попечения родителей,  лицам  из их числа по договорам найма специализированных жилых помещений</t>
  </si>
  <si>
    <t>Долгосрочная целевая программа "Обеспечение безопасности населения и территории Пермского муниципального района на 2013-2015 гг."</t>
  </si>
  <si>
    <t>Управление здравоохранения администрации Пермского муниципального района</t>
  </si>
  <si>
    <t>Проведение мероприятий</t>
  </si>
  <si>
    <t>Строительство станции второго подъема в  п.Сокол</t>
  </si>
  <si>
    <t>Мероприятия, направленные на реализацию Программы (текущие расходы)</t>
  </si>
  <si>
    <t>440</t>
  </si>
  <si>
    <t>630</t>
  </si>
  <si>
    <t>505 21 02</t>
  </si>
  <si>
    <t xml:space="preserve">340 99 01 </t>
  </si>
  <si>
    <t>Капитальный ремонт водозабора в д.Горшки Заболотского поселения</t>
  </si>
  <si>
    <t>521 06 60</t>
  </si>
  <si>
    <t>420 02 00</t>
  </si>
  <si>
    <t>Долгосрочная целевая программа на 2009-2013 годы по улучшению жилищных условий граждан, проживающих в Пермском муниципальном районе</t>
  </si>
  <si>
    <t xml:space="preserve">                                                                                                       Приложение 9</t>
  </si>
  <si>
    <t xml:space="preserve">                                                                                               к решению Земского Собрания</t>
  </si>
  <si>
    <t xml:space="preserve">                                                                                                       от                 №</t>
  </si>
  <si>
    <t>Изменения в ведомственную структуру расходов бюджета на 2013 год</t>
  </si>
  <si>
    <t>Вед</t>
  </si>
  <si>
    <t>Рз, ПР</t>
  </si>
  <si>
    <t>стр-во</t>
  </si>
  <si>
    <t>ФСР</t>
  </si>
  <si>
    <t xml:space="preserve"> </t>
  </si>
  <si>
    <t>4</t>
  </si>
  <si>
    <t>5</t>
  </si>
  <si>
    <t>521 01 00</t>
  </si>
  <si>
    <t>200</t>
  </si>
  <si>
    <t>Закупка товаров, работ и услуг для муниципальных нужд</t>
  </si>
  <si>
    <t>400</t>
  </si>
  <si>
    <t xml:space="preserve">Межбюджетные трансферты </t>
  </si>
  <si>
    <t>Администрация Пермского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</si>
  <si>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</si>
  <si>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муниципальных нужд</t>
  </si>
  <si>
    <t>Муниципальное  учреждение "Управление капитального строительства Пермского муниципального района"</t>
  </si>
  <si>
    <t>Национальная экономика</t>
  </si>
  <si>
    <t>Расходы на выплаты персоналу казенных учреждений</t>
  </si>
  <si>
    <t>ВЦП "Приведение в нормативное состояние учреждений образования на 2011-2013 годы"</t>
  </si>
  <si>
    <t xml:space="preserve">Культура </t>
  </si>
  <si>
    <t>Муниципальное казенное учреждение "Управление благоустройством Пермского муниципального района"</t>
  </si>
  <si>
    <t>Финансово-экономическое управление администрации муниципального образования "Пермский  муниципальный район"</t>
  </si>
  <si>
    <t>Управление образования администрации муниципального образования "Пермский муниципальный  район"</t>
  </si>
  <si>
    <t>300</t>
  </si>
  <si>
    <t>Социальное обеспечение и иные выплаты населению</t>
  </si>
  <si>
    <t>100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</si>
  <si>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
</t>
  </si>
  <si>
    <t>Расходы на выплаты персоналу органов местного самоуправления</t>
  </si>
  <si>
    <t>800</t>
  </si>
  <si>
    <t>Иные бюджетные ассигнования</t>
  </si>
  <si>
    <t>600</t>
  </si>
  <si>
    <t xml:space="preserve">Предоставление субсидий бюджетным, автономным учреждениям и иным некоммерческим организациям
</t>
  </si>
  <si>
    <t>830</t>
  </si>
  <si>
    <t>Исполнение судебных актов</t>
  </si>
  <si>
    <t>505 21 00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</si>
  <si>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</si>
  <si>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</si>
  <si>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</si>
  <si>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</si>
  <si>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110</t>
  </si>
  <si>
    <t>795 10 04</t>
  </si>
  <si>
    <t>ВЦП"Развитие сельского хозяйства в Пермском муниципальном районе на 2013-2015 годы"</t>
  </si>
  <si>
    <t>Дорожное хозяйство (дорожные фонды)</t>
  </si>
  <si>
    <t>315 00 00</t>
  </si>
  <si>
    <t>Дорожное хозяйство</t>
  </si>
  <si>
    <t>315 08 00</t>
  </si>
  <si>
    <t xml:space="preserve">Капитальный ремонт и ремонт автомобильных дорог общего пользования населенных пунктов Пермского края </t>
  </si>
  <si>
    <t>521 06 10</t>
  </si>
  <si>
    <t>Субсидия на оказание муниципальной услуги по дошкольному образованию</t>
  </si>
  <si>
    <t>Субсидии бюджетным учреждениям</t>
  </si>
  <si>
    <t>Субсидии автономным учреждениям</t>
  </si>
  <si>
    <t>520 09 00</t>
  </si>
  <si>
    <t>Ежемесячное денежное вознаграждение за классное руководство</t>
  </si>
  <si>
    <t>450 00 00</t>
  </si>
  <si>
    <t>450 20 00</t>
  </si>
  <si>
    <t>450 20 01</t>
  </si>
  <si>
    <t>521 02 28</t>
  </si>
  <si>
    <t>505 34 00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</si>
  <si>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 , участников Великой Отечественной Войны, ветеранов боевых действий, инвалидов и  семей, имеющих детей-инвалидов</t>
  </si>
  <si>
    <t>505 34 01</t>
  </si>
  <si>
    <t>505 34 02</t>
  </si>
  <si>
    <t>505 21 04</t>
  </si>
  <si>
    <t>Реализация функций, связанных с муниципальными управлениями</t>
  </si>
  <si>
    <t>Здравоохранение</t>
  </si>
  <si>
    <t>Управление по делам культуры, молодёжи и спорта администрации Пермского муниципального района</t>
  </si>
  <si>
    <t xml:space="preserve">Культура , кинематография  </t>
  </si>
  <si>
    <t>Управление сельского хозяйства, продовольствия и закупок администрации Пермского муниципального района</t>
  </si>
  <si>
    <t xml:space="preserve">Субсидии юридическим лицам (кроме муниципальных учреждений)  и физическим лицам - производителям товаров, работ, услуг
</t>
  </si>
  <si>
    <t>перераспределение</t>
  </si>
  <si>
    <t>521 06 19</t>
  </si>
  <si>
    <t>Разработка Генерального плана  Култаевского  сельского поселения Пермского муниципального района Пермского края с генеральными планами для перспективных (9) населенных пунктов и Правил землепользования и застройки поселения</t>
  </si>
  <si>
    <t>521 06 34</t>
  </si>
  <si>
    <t>521 06 25</t>
  </si>
  <si>
    <t>521 06 24</t>
  </si>
  <si>
    <t>521 06 37</t>
  </si>
  <si>
    <t>521 06 47</t>
  </si>
  <si>
    <t>521 06 38</t>
  </si>
  <si>
    <t>340 09 00</t>
  </si>
  <si>
    <t xml:space="preserve">Расходы на проведение работ по государственной кадастровой оценке земельных участков предоставленных для ведения садоводства, огородничества и дачного строительства из состава земель </t>
  </si>
  <si>
    <t xml:space="preserve">338 00 00 </t>
  </si>
  <si>
    <t xml:space="preserve">338 01 02 </t>
  </si>
  <si>
    <t>Разработка схемы территориального планирования Пермского муниципального района</t>
  </si>
  <si>
    <t xml:space="preserve">Генеральный план Соколовского  сельского поселения Пермского муниципального района Пермского края, с генеральным планом для перспективного (1) населенного пункта и Правил землепользования и застройки </t>
  </si>
  <si>
    <t>521 07 42</t>
  </si>
  <si>
    <t>Спортивный комлекс в п. Ферма Двуреченского с/п Пермского района</t>
  </si>
  <si>
    <t>795 10 05</t>
  </si>
  <si>
    <t xml:space="preserve">521 01 02 </t>
  </si>
  <si>
    <t xml:space="preserve">521 01 01 </t>
  </si>
  <si>
    <t>Бюджетные инвестиции в объекты муниципальной собственности муниципальным учреждениям</t>
  </si>
  <si>
    <t xml:space="preserve">521 07 00 </t>
  </si>
  <si>
    <t xml:space="preserve">092 00 00 </t>
  </si>
  <si>
    <t xml:space="preserve">092 03 16 </t>
  </si>
  <si>
    <t xml:space="preserve">521 06 48 </t>
  </si>
  <si>
    <t xml:space="preserve">098 00 00 </t>
  </si>
  <si>
    <t xml:space="preserve">098 01 00 </t>
  </si>
  <si>
    <t xml:space="preserve">098 01 02 </t>
  </si>
  <si>
    <t>Обеспечение мероприятий по капитальному ремонту многоквартирных домов и переселению граждан из аварийного 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</si>
  <si>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Бюджетные инвестиции на приобретение объектов недвижимого имущества</t>
  </si>
  <si>
    <t xml:space="preserve">521 06 21 </t>
  </si>
  <si>
    <t xml:space="preserve">340 99 00 </t>
  </si>
  <si>
    <t>521 07 28</t>
  </si>
  <si>
    <t xml:space="preserve">092 33 00 </t>
  </si>
  <si>
    <t xml:space="preserve">520 00 00 </t>
  </si>
  <si>
    <t>520 52 00</t>
  </si>
  <si>
    <t xml:space="preserve">795 10 11 </t>
  </si>
  <si>
    <t xml:space="preserve">505 55 00 </t>
  </si>
  <si>
    <t>505 55 32</t>
  </si>
  <si>
    <t>Реализация мер социальной поддержки отдельных категорий  граждан  (реабилитированные лица и лица, признанные пострадавшими от политических репрессий)</t>
  </si>
  <si>
    <t xml:space="preserve">521 02 00 </t>
  </si>
  <si>
    <t xml:space="preserve">522 00 00 </t>
  </si>
  <si>
    <t xml:space="preserve">522 17 20 </t>
  </si>
  <si>
    <t xml:space="preserve">522 17 00 </t>
  </si>
  <si>
    <t>Долгосрочная целевая программа "Развитие физической культуры, спорта и здорового образа жизни в Пермском крае на 2011-2015 годы"</t>
  </si>
  <si>
    <t>521 07 38</t>
  </si>
  <si>
    <t>522 13 00</t>
  </si>
  <si>
    <t>Приобретение служебного жилья</t>
  </si>
  <si>
    <t>Поддержка мер по обеспечению сбалансированности бюджетов</t>
  </si>
  <si>
    <t>ВЦП"Приведение в нормативное состояние  и модернизация деятельности учреждений культуры Пермского муниципального района" на 2011 - 2013 годы</t>
  </si>
  <si>
    <t>0804</t>
  </si>
  <si>
    <t>1001</t>
  </si>
  <si>
    <t xml:space="preserve">                                                     к решению Земского Собрания</t>
  </si>
  <si>
    <t>102 00 00</t>
  </si>
  <si>
    <t>102 02 00</t>
  </si>
  <si>
    <t>102 02 41</t>
  </si>
  <si>
    <t xml:space="preserve">400 </t>
  </si>
  <si>
    <t>КВР</t>
  </si>
  <si>
    <t>КЦСР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</si>
  <si>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</si>
  <si>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</si>
  <si>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Расходы на выплаты персоналу в целях обеспечения
выполнения функций органами местного самоуправления, казенными  учреждениями</t>
  </si>
  <si>
    <t>247 00 00</t>
  </si>
  <si>
    <t>247 99 00</t>
  </si>
  <si>
    <t>247 99 01</t>
  </si>
  <si>
    <t>Реализация других функций, связанных с обеспечением национальной безопасности и правоохранительной деятельности</t>
  </si>
  <si>
    <t>440 00 00</t>
  </si>
  <si>
    <t>440 99 00</t>
  </si>
  <si>
    <t>440 99 01</t>
  </si>
  <si>
    <t>Другие вопросы в области культуры, кинематографии</t>
  </si>
  <si>
    <t>Дворцы и дома культуры, другие учреждения культуры</t>
  </si>
  <si>
    <t>491 00 00</t>
  </si>
  <si>
    <t>310</t>
  </si>
  <si>
    <t>Пенсии за выслугу лет</t>
  </si>
  <si>
    <t>Пенсионное обеспечение</t>
  </si>
  <si>
    <t>Публичные нормативные социальные выплаты гражданам</t>
  </si>
  <si>
    <t>Контрольно-счётная палата Пермского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</si>
  <si>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</si>
  <si>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517 00 00</t>
  </si>
  <si>
    <t>517 02 00</t>
  </si>
  <si>
    <t>510</t>
  </si>
  <si>
    <t>Межбюджетные трансферты общего характера бюджетам субъектов Российской Федерации  и муниципальных образований</t>
  </si>
  <si>
    <t>Иные дотации</t>
  </si>
  <si>
    <t>Дотации</t>
  </si>
  <si>
    <t>795 10 01</t>
  </si>
  <si>
    <t>ВЦП "Качественное здравоохранение на 2011-2013 годы"</t>
  </si>
  <si>
    <t>423 00 00</t>
  </si>
  <si>
    <t>423 02 00</t>
  </si>
  <si>
    <t>Учреждения по внешкольной работе с детьми</t>
  </si>
  <si>
    <t>Субсидия на оказание муниципальной услуги по дополнительному образованию детей</t>
  </si>
  <si>
    <t>795 10 09</t>
  </si>
  <si>
    <t>795 26 00</t>
  </si>
  <si>
    <t>795 26 19</t>
  </si>
  <si>
    <t>Приведение в нормативное состояние учреждений  социальной сферы</t>
  </si>
  <si>
    <t>Капитальный ремонт МУ "Дом культуры Гамовского сельского поселения"</t>
  </si>
  <si>
    <t>340 99 00</t>
  </si>
  <si>
    <t>340 99 01</t>
  </si>
  <si>
    <t>Субсидии некоммерческим организациям (за исключением муниципальных учреждений)</t>
  </si>
  <si>
    <t>102 02 01</t>
  </si>
  <si>
    <t>102 02 04</t>
  </si>
  <si>
    <t>102 02 10</t>
  </si>
  <si>
    <t>102 02 11</t>
  </si>
  <si>
    <t>Бюджетные инвестиции в объекты муниципальной собственности муниципальным учреждениям- всего, в т.ч.:</t>
  </si>
  <si>
    <t>102 02 06</t>
  </si>
  <si>
    <t>Строительство спортивного комплекса д.Кондратово Пермского муниципального района</t>
  </si>
  <si>
    <t>092 03 16</t>
  </si>
  <si>
    <t>436 00 00</t>
  </si>
  <si>
    <t>436 01 00</t>
  </si>
  <si>
    <t>360</t>
  </si>
  <si>
    <t>Мероприятия в области образования</t>
  </si>
  <si>
    <t>Выплаты семьям, имеющим детей в возрасте от 3 до 5 лет, не посещающих МДОУ</t>
  </si>
  <si>
    <t>Иные выплаты населению</t>
  </si>
  <si>
    <t>512 00 00</t>
  </si>
  <si>
    <t>512 01 00</t>
  </si>
  <si>
    <t>Физкультурно-оздоровительная работа</t>
  </si>
  <si>
    <t>Софинансирование проекта "Спортивный клуб + спортивный сертификат" в рамках долгосрочной целевой программы "Развитие физической культуры, спорта и здорового образа жизни в Пермском крае на 2011-2015 годы"</t>
  </si>
  <si>
    <t>090 00 00</t>
  </si>
  <si>
    <t>090 01 00</t>
  </si>
  <si>
    <t>090 01 01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</si>
  <si>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</si>
  <si>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Содержание и обслуживание казны , муниципального имущества</t>
  </si>
  <si>
    <t>ПРП "Достойное жилье"</t>
  </si>
  <si>
    <t>102 02 59</t>
  </si>
  <si>
    <t>102 02 60</t>
  </si>
  <si>
    <t>102 02 61</t>
  </si>
  <si>
    <t>102 02 62</t>
  </si>
  <si>
    <t>Строительство ФАП со встроенными жилыми помещениями  в д. Байболовка</t>
  </si>
  <si>
    <t>Строительство ФАП со встроенными жилыми помещениями  в п.Горный</t>
  </si>
  <si>
    <t>Строительство ФАП со встроенными жилыми помещениями  в с.Троица</t>
  </si>
  <si>
    <t>Строительство ФАП со встроенными жилыми помещениями  в с. Янычи</t>
  </si>
  <si>
    <t>092 03 06</t>
  </si>
  <si>
    <t>Мероприятия по содействию ветеранскому движению</t>
  </si>
  <si>
    <t>Субсидии социально-ориентированным некоммерческим организациям</t>
  </si>
  <si>
    <t>Предоставление субсидий бюджетным, автономным учреждениям и иным некоммерческим организациям</t>
  </si>
  <si>
    <t>441 00 00</t>
  </si>
  <si>
    <t>441 02 00</t>
  </si>
  <si>
    <t>Музеи и постоянные выставки</t>
  </si>
  <si>
    <t>Субсидии на оказание муниципальной услуги по сохранению, изучению и представлению музейных предметов, музейных коллекций и иных культурных ценностей</t>
  </si>
  <si>
    <t xml:space="preserve">                                                                                       к решению Земского Собрания</t>
  </si>
  <si>
    <t>Доходы бюджета муниципального района на 2013 год</t>
  </si>
  <si>
    <t xml:space="preserve">Код </t>
  </si>
  <si>
    <t>Наименование кода дохода бюджета</t>
  </si>
  <si>
    <t>Сумма         тыс. руб.</t>
  </si>
  <si>
    <t>000</t>
  </si>
  <si>
    <t>100 00000 00 0000 000</t>
  </si>
  <si>
    <t>НАЛОГОВЫЕ И НЕНАЛОГОВЫЕ ДОХОДЫ</t>
  </si>
  <si>
    <t>101 00000 00 0000 000</t>
  </si>
  <si>
    <t>НАЛОГИ НА ПРИБЫЛЬ, ДОХОДЫ</t>
  </si>
  <si>
    <t xml:space="preserve"> 1 01 02000 01 0000 110</t>
  </si>
  <si>
    <t>Налог на доходы физических лиц</t>
  </si>
  <si>
    <t>182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</si>
  <si>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</si>
  <si>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</si>
  <si>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</si>
  <si>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</si>
  <si>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</si>
  <si>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</si>
  <si>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</si>
  <si>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</si>
  <si>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</si>
  <si>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</si>
  <si>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</si>
  <si>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</si>
  <si>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</si>
  <si>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1 05 04000 02 0000 110</t>
  </si>
  <si>
    <t xml:space="preserve"> 1 06 00000 00 0000 000</t>
  </si>
  <si>
    <t>НАЛОГИ НА ИМУЩЕСТВО</t>
  </si>
  <si>
    <t xml:space="preserve"> 1 06 04000 02 0000 110</t>
  </si>
  <si>
    <t>Транспортный налог</t>
  </si>
  <si>
    <t xml:space="preserve"> 1 06 04011 02 0000 110</t>
  </si>
  <si>
    <t>Транспортный налог с организаций</t>
  </si>
  <si>
    <t>1 06 04012 02 0000 110</t>
  </si>
  <si>
    <t>Транспортный налог с физических лиц</t>
  </si>
  <si>
    <t xml:space="preserve"> 1 08 00000 00 0000 000</t>
  </si>
  <si>
    <t>ГОСУДАРСТВЕННАЯ ПОШЛИНА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</si>
  <si>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</si>
  <si>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</si>
  <si>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 xml:space="preserve">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</si>
  <si>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</si>
  <si>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</si>
  <si>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</si>
  <si>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</si>
  <si>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на установку рекламной конструкции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</si>
  <si>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</si>
  <si>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</si>
  <si>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</si>
  <si>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</si>
  <si>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</si>
  <si>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</si>
  <si>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</si>
  <si>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</si>
  <si>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</si>
  <si>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</si>
  <si>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</si>
  <si>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</si>
  <si>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</si>
  <si>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</si>
  <si>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</si>
  <si>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</si>
  <si>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</si>
  <si>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</si>
  <si>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</si>
  <si>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</si>
  <si>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</si>
  <si>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</si>
  <si>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</si>
  <si>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</si>
  <si>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</si>
  <si>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</si>
  <si>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</si>
  <si>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</si>
  <si>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</si>
  <si>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</si>
  <si>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</si>
  <si>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</si>
  <si>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</si>
  <si>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</si>
  <si>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000 </t>
  </si>
  <si>
    <t>1 12 01050 01 0000 120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</si>
  <si>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</si>
  <si>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</si>
  <si>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(РАБОТ) И КОМПЕНСАЦИИ ЗАТРАТ ГОСУДАРСТВА</t>
  </si>
  <si>
    <t>113 01000 00 0000 130</t>
  </si>
  <si>
    <t>Доходы от оказания платных услуг (работ)</t>
  </si>
  <si>
    <t>113 01990 00 0000 130</t>
  </si>
  <si>
    <t>Прочие доходы от оказания платных услуг (работ)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</si>
  <si>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</si>
  <si>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</si>
  <si>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113 02000 00 0000 130</t>
  </si>
  <si>
    <t>Доходы от компенсации затрат государства</t>
  </si>
  <si>
    <t>113 02990 00 0000 130</t>
  </si>
  <si>
    <t>Прочие доходы от компенсации затрат государства</t>
  </si>
  <si>
    <t>113 02995 05 0000 130</t>
  </si>
  <si>
    <t>Прочие доходы от компенсации затрат 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</si>
  <si>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</si>
  <si>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</si>
  <si>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</si>
  <si>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</si>
  <si>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</si>
  <si>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</si>
  <si>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</si>
  <si>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</si>
  <si>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1 14 06010 00 0000 430</t>
  </si>
  <si>
    <t xml:space="preserve"> Доходы от    продажи    земельных    участков,  государственная  собственность  на   которые не  разграничена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</si>
  <si>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</si>
  <si>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</si>
  <si>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</si>
  <si>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</si>
  <si>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 xml:space="preserve"> 1 16 03000 00 0000 140</t>
  </si>
  <si>
    <t>Денежные взыскания (штрафы) за нарушение законодательства о налогах и сборах</t>
  </si>
  <si>
    <t xml:space="preserve">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</si>
  <si>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</si>
  <si>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</si>
  <si>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</si>
  <si>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</si>
  <si>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</si>
  <si>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</t>
  </si>
  <si>
    <t>Денежные взыскания (штрафы) за нарушение бюджетного законодательства Российской Федерации</t>
  </si>
  <si>
    <t xml:space="preserve"> 1 16 18050 05 0000 140</t>
  </si>
  <si>
    <t>Денежные взыскания (штрафы) за нарушение бюджетного законодательства ( в части бюджетов муниципальных районов)</t>
  </si>
  <si>
    <t xml:space="preserve">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</si>
  <si>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</si>
  <si>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</si>
  <si>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</si>
  <si>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</si>
  <si>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</si>
  <si>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1 16 25050 01 0000 140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</si>
  <si>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</si>
  <si>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</si>
  <si>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>Денежные взыскания (штрафы) за нарушение земельного законодательства</t>
  </si>
  <si>
    <t xml:space="preserve">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</si>
  <si>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</si>
  <si>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</si>
  <si>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</si>
  <si>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 xml:space="preserve">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</si>
  <si>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</si>
  <si>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</si>
  <si>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</si>
  <si>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</si>
  <si>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</si>
  <si>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</si>
  <si>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</si>
  <si>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</si>
  <si>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</si>
  <si>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</si>
  <si>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</si>
  <si>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</si>
  <si>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</si>
  <si>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</si>
  <si>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</si>
  <si>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</si>
  <si>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</si>
  <si>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</si>
  <si>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</si>
  <si>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</si>
  <si>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</si>
  <si>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2 02 02999 00 0000 151</t>
  </si>
  <si>
    <t>Прочие субсидии</t>
  </si>
  <si>
    <t>2 02 02999 05 0000 151</t>
  </si>
  <si>
    <t>Прочие субсидии бюджетам муниципальных районов:</t>
  </si>
  <si>
    <t>Софинансирование расходных обязательств по исполнению полномочий органов местного самоуправления по вопросам местного значения - всего, в т.ч.:</t>
  </si>
  <si>
    <t xml:space="preserve"> остаток средств 2012 года</t>
  </si>
  <si>
    <t>средства 2013 года</t>
  </si>
  <si>
    <t>заимствование 2014 года</t>
  </si>
  <si>
    <t>Субсидия на приобретение путевок на санаторно-курортное лечение и оздоровление работников бюджетной сферы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</si>
  <si>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</si>
  <si>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</si>
  <si>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</si>
  <si>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</si>
  <si>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</si>
  <si>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</si>
  <si>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</si>
  <si>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</si>
  <si>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</si>
  <si>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</si>
  <si>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</si>
  <si>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</si>
  <si>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</si>
  <si>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</si>
  <si>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Дополнительные  меры  социальной поддержки отдельных категорий лиц, которым присуждены ученые степени кандидата и доктора наук, работающих в учреждениях общего, начального и среднего профессионального образования</t>
  </si>
  <si>
    <t>Закон  Пермского  края от 01.06.2010г. N 628-ПК 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 (рабочих по-селках), по оплате жилого помещения и коммунальных услуг"</t>
  </si>
  <si>
    <t>Закон Пермской области от 30.11.2004 № 1845-395 «О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услуг»</t>
  </si>
  <si>
    <t>Закон  Пермского края от 29.06.2010 №642-ПК 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образования"</t>
  </si>
  <si>
    <t>Обеспечение  хранения, комплектования, учета и использования архивных документов  архивного фонда Пермского края</t>
  </si>
  <si>
    <t>Образование комиссий по делам несовершеннолетних и защите их прав и организация их деятельности</t>
  </si>
  <si>
    <t>Обслуживание лицевых счетов органов государственной власти Пермского края, государственных краевых учреждений</t>
  </si>
  <si>
    <t>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</si>
  <si>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Осуществление 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</si>
  <si>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Обеспечение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</si>
  <si>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Предоставление социальных гарантий и льгот педагогическим работникам образовательных учреждений- всего, в т.ч.:</t>
  </si>
  <si>
    <t>общее образование</t>
  </si>
  <si>
    <t>социальное обеспечение населения</t>
  </si>
  <si>
    <t>Составление протоколов об административных правонарушениях</t>
  </si>
  <si>
    <t>Расходы на администрирование финансового обеспечения и выполнения государственных полномочий на обеспечение жилыми помещениями детей-сирот, детей, оставшихся на попечения родителей, а также детей, находящихся под опекой (попечительством) не имеющих закрепленного жилого помещения</t>
  </si>
  <si>
    <t>Предоставление мер социальной поддержки учащихся  из многодетных малоимущих и малоимущих семей - всего, в т.ч.:</t>
  </si>
  <si>
    <t>многодетные малоимущие семьи</t>
  </si>
  <si>
    <t>малоимущие семьи</t>
  </si>
  <si>
    <t>Субвенция на администрирование полномочий по выплате компенсаций части родительской платы за содержание ребенка в муниципальных образовательных учреждениях</t>
  </si>
  <si>
    <t xml:space="preserve">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</si>
  <si>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</si>
  <si>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</si>
  <si>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помещения- всего, в т.ч.:</t>
  </si>
  <si>
    <t xml:space="preserve">2 02 03029 00 0000 151 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</si>
  <si>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</si>
  <si>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2 02 03029 05 0000 151 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</si>
  <si>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</si>
  <si>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2 02 03033 00 0000 151 </t>
  </si>
  <si>
    <t>Субвенции бюджетам муниципальных образований на оздоровление детей</t>
  </si>
  <si>
    <t xml:space="preserve">2 02 03033 05 0000 151 </t>
  </si>
  <si>
    <t>Субвенции бюджетам муниципальных районов на оздоровление детей</t>
  </si>
  <si>
    <t xml:space="preserve">2 02 03069 00 0000 151 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</si>
  <si>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</si>
  <si>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2 02 03069 05 0000 151 </t>
  </si>
  <si>
    <t xml:space="preserve">Субвенции бюджетам муниципальных районов на    обеспечение    жильем    отдельных категорий     граждан,     установленных Федеральным законом от  12  января  1995 года   N   5-ФЗ   "О    ветеранах",  в соответствии   с    Указом    Президента Российской Федерации от 7 мая 2008  года N 714 "Об обеспечении  жильем  ветеранов Великой Отечественной войны 1941 -  1945 годов"
</t>
  </si>
  <si>
    <t xml:space="preserve">2 02 03070 00 0000 151 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</si>
  <si>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</si>
  <si>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 xml:space="preserve">2 02 03070 05 0000 151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</si>
  <si>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 "О ветеранах" и от 24 ноября 1995 года N 181-ФЗ "О социальной защите инвалидов в Российской Федерации"</t>
  </si>
  <si>
    <t>2 02 04000 00 0000 151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</si>
  <si>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</si>
  <si>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</si>
  <si>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</si>
  <si>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</si>
  <si>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Всего, в том числе:</t>
  </si>
  <si>
    <t xml:space="preserve">Выполнение функций по проведению проверок деятельности управляющих организаций </t>
  </si>
  <si>
    <t>Подготовка проектов планировки территорий,  проектов межевания</t>
  </si>
  <si>
    <t>Выполнение функций по  подготовке и согласованию проектов планировки территорий,  проектов межевания</t>
  </si>
  <si>
    <t>Выполнение передаваемых полномочий поселений на обеспечение обслуживания получателей средств бюджетов поселений</t>
  </si>
  <si>
    <t>Выполнение передаваемых полномочий поселений по осуществлению внешнего муниципального финансового контроля</t>
  </si>
  <si>
    <t>Выполнение  полномочий по решению вопросов  в области градостроительной деятельности</t>
  </si>
  <si>
    <t xml:space="preserve">Регулирование тарифов на товары и услуги организаций коммунального комплекса и по определению норматива потребления </t>
  </si>
  <si>
    <t xml:space="preserve">Проведение открытого конкурса по отбору управляющих организаций </t>
  </si>
  <si>
    <t>Организация и осуществление мероприятий по гражданской обороне</t>
  </si>
  <si>
    <t>Софинансирование ФЦП "Социальное развитие села до 2013 года" на улучшение жилищных условий граждан, проживающих в сельской местности</t>
  </si>
  <si>
    <t>Софинансирование подпрограммы "Обеспечение жильем молодых семей "ФЦП"Жилище"на 2011-2015 г." и  ДЦП "Обеспечение жильем молодых семей в Пермском крае на 2011-2015 годы"</t>
  </si>
  <si>
    <t>Организация проведения текущего и капитального ремонта дорог, мостов</t>
  </si>
  <si>
    <t>Финансирование инвестиционных проектов</t>
  </si>
  <si>
    <t>Обеспечение мероприятий по переселению граждан из аварийного жилищного фонда</t>
  </si>
  <si>
    <t>Выполнение  функций заказчика по капитальному ремонту многоквартирных домов и по переселению граждан из аварийного жилищного фонда</t>
  </si>
  <si>
    <t>Приведение в нормативное состояние объектов соцсферы</t>
  </si>
  <si>
    <t>Выполнение функций заказчика по капитальному ремонту объектов социальной сферы</t>
  </si>
  <si>
    <t>Выполнение функций  по осуществлению муниципального контроля за муниципальным жилищным фондом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</si>
  <si>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</si>
  <si>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</si>
  <si>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</si>
  <si>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Комплектование книжных фондов  библиотек муниципальных образований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</si>
  <si>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</si>
  <si>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</si>
  <si>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</si>
  <si>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</si>
  <si>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Берегоукрепление р.Бабка в с.Платошино</t>
  </si>
  <si>
    <t>ВСЕГО ДОХОДОВ</t>
  </si>
  <si>
    <t>Субсидии автономным учреждениям - всего, в т.ч.:</t>
  </si>
  <si>
    <t>Субсидии автономным учреждениям - всего, в т.ч. :</t>
  </si>
  <si>
    <t>521 06 05</t>
  </si>
  <si>
    <t xml:space="preserve"> к решению Земского Собрания</t>
  </si>
  <si>
    <t>Размеры дотаций из резерва выравнивания экономического положения поселений на 2013 год</t>
  </si>
  <si>
    <t>№</t>
  </si>
  <si>
    <t>Наименование сельских поселений</t>
  </si>
  <si>
    <t>Гамовское</t>
  </si>
  <si>
    <t>Заболотское</t>
  </si>
  <si>
    <t>Кукуштанское</t>
  </si>
  <si>
    <t>Култаевское</t>
  </si>
  <si>
    <t>Лобановское</t>
  </si>
  <si>
    <t>Мулянское</t>
  </si>
  <si>
    <t>Платошинское</t>
  </si>
  <si>
    <t>Сылвенское</t>
  </si>
  <si>
    <t>Фроловское</t>
  </si>
  <si>
    <t>Юговское</t>
  </si>
  <si>
    <t>Юго-Камское</t>
  </si>
  <si>
    <t xml:space="preserve">Итого </t>
  </si>
  <si>
    <t>нераспределенный резерв</t>
  </si>
  <si>
    <t>Размеры дотаций из резерва выравнивания экономического положения поселений на 2014 год</t>
  </si>
  <si>
    <t>Кондратовское</t>
  </si>
  <si>
    <t>Стимулирование перехода сельскохозяйственных товаропроизводителей на уплату единого сельскохозяйственного налога</t>
  </si>
  <si>
    <t>Активизация института самообложения граждан (софинансирование из краевого бюджета)</t>
  </si>
  <si>
    <t>Долгосрочная целевая программа «Развитие физической культуры, спорта и здорового образа жизни в Пермском крае на 2011-2015 годы»(Мероприятия, направленные на реализацию Программы (текущие расходы))</t>
  </si>
  <si>
    <t>202 02088 05 0000 151</t>
  </si>
  <si>
    <t>202 02088 05 0002 151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</si>
  <si>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</si>
  <si>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</si>
  <si>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</si>
  <si>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Капитальный ремонт систем коммунального комплекса</t>
  </si>
  <si>
    <t>Выполнение части функций по капитальному ремонту систем коммунального комплекса</t>
  </si>
  <si>
    <t>Выполнение фукций по оснащению многоквартирных домов приборами учета</t>
  </si>
  <si>
    <t>к решению Земского Собрания</t>
  </si>
  <si>
    <t>Перечень и объемы  финансирования долгосрочных и ведомственных целевых программ (ДЦП, ВЦП) , на 2013 год</t>
  </si>
  <si>
    <t>Наименование</t>
  </si>
  <si>
    <t>Итого, тыс.руб.</t>
  </si>
  <si>
    <t>краевой бюджет</t>
  </si>
  <si>
    <t>районный бюджет</t>
  </si>
  <si>
    <t>средства поселений</t>
  </si>
  <si>
    <t>ВЦП "Развитие сельского хозяйства в  Пермском муниципальном районе на 2013 - 2015 годы"</t>
  </si>
  <si>
    <t>ДЦП "Поддержка малого предпринимательства в Пермском муниципальном районе на 2011 - 2015 годы"</t>
  </si>
  <si>
    <t>ДЦП "Развитие туризма в Пермском муниципальном районе на 2011-2015 годы"</t>
  </si>
  <si>
    <t>ДЦП "Энергосбережение и повышение энергетической эффективности в муниципальных учреждениях Пермского муниципального района до 2015 года"</t>
  </si>
  <si>
    <t>ВЦП "Приведение в нормативное состояние  и модернизация деятельности учреждений культуры Пермского муниципального района" на 2011 - 2013 годы</t>
  </si>
  <si>
    <t>"Долгосрочная целевая программа на 2009 - 2013 годы по улучшению жилищных условий граждан, проживающих в Пермском муниципальном районе"</t>
  </si>
  <si>
    <t xml:space="preserve"> ДЦП "Обеспечение жильем молодых семей в Пермском муниципальном районе на  2011-2015 годы"</t>
  </si>
  <si>
    <t>ВЦП "Развитие муниципальной службы в Пермском муниципальном районе (2011-2013 годы)"</t>
  </si>
  <si>
    <t>ДЦП "Обеспечение безопасности населения и территории Пермского муниципального района на 2013-2015 гг."</t>
  </si>
  <si>
    <t>Итого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</si>
  <si>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</si>
  <si>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</si>
  <si>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налогооблажения</t>
  </si>
  <si>
    <t xml:space="preserve"> 1 05 04020 02 0000 110</t>
  </si>
  <si>
    <t>Налог, взимаемый в связи с применением патентной системы налогооблажения, зачисляемых в бюджеты муниципальных районов</t>
  </si>
  <si>
    <t>1 09  00000 00 0000 000</t>
  </si>
  <si>
    <t>ЗАДОЛЖЕННОСТЬ И ПЕРЕРАСЧЕТЫ ПО ОТМЕНЕННЫМ НАЛОГАМ, СБОРАМ И ИНЫМ ОБЯЗАТЕЛЬНЫМ ПЛАТЕЖАМ</t>
  </si>
  <si>
    <t>1 09 07 033 05 0000 110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</si>
  <si>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</si>
  <si>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1 11 03000 00 0000 120</t>
  </si>
  <si>
    <t>Проценты, полученные от предоставлениябюджетных кредитов внутри страны</t>
  </si>
  <si>
    <t xml:space="preserve"> 1 11 03050 05 0000 120</t>
  </si>
  <si>
    <t>Проценты, полученные от предоставлениябюджетных кредитов внутри страны за счет средств бюджетов муниципальных районов</t>
  </si>
  <si>
    <t xml:space="preserve"> 1 14 02050 05 0000 410</t>
  </si>
  <si>
    <t xml:space="preserve">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</si>
  <si>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</si>
  <si>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1 14 02053 05 0000 440</t>
  </si>
  <si>
    <t xml:space="preserve">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</si>
  <si>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</si>
  <si>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116 25030 01 6000 140</t>
  </si>
  <si>
    <t>Денежные взыскания (штрафы) за нарушение законодательства об охране и использовании животного мира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</si>
  <si>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</si>
  <si>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</si>
  <si>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</si>
  <si>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</si>
  <si>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</si>
  <si>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бюджетоыв муниципальных районов</t>
  </si>
  <si>
    <t>2 07 05000 00 0000 180</t>
  </si>
  <si>
    <t xml:space="preserve">Прочие безвозмездные поступления </t>
  </si>
  <si>
    <t>2 07 05030 05 0000 180</t>
  </si>
  <si>
    <t>Прочие безвозмездные поступления в бюджеты муниципальных раонов</t>
  </si>
  <si>
    <t>522 06 00</t>
  </si>
  <si>
    <t>Долгосрочная целевая программа  "Семья и дети Пермского края на 2011-2015 годы"</t>
  </si>
  <si>
    <t xml:space="preserve">План приватизации </t>
  </si>
  <si>
    <t>муниципального имущества  Пермского муниципального района                                                                                            на 2013 и плановый период 2014-2015 годы</t>
  </si>
  <si>
    <t>№ п/п</t>
  </si>
  <si>
    <t>Наименование объекта</t>
  </si>
  <si>
    <t>Адрес</t>
  </si>
  <si>
    <t>Краткая характеристика</t>
  </si>
  <si>
    <t>Год постройки</t>
  </si>
  <si>
    <t>2013 год</t>
  </si>
  <si>
    <t>1.</t>
  </si>
  <si>
    <t>Административное здание</t>
  </si>
  <si>
    <t>Пермский край, г.Пермь, Индустриальный район, ул.Верхнемуллинская, 80</t>
  </si>
  <si>
    <t>1-этажное кирпичное здание площадью 291,1 кв.м.</t>
  </si>
  <si>
    <t>2.</t>
  </si>
  <si>
    <t>Часть здания, площадью 1010,1 кв. м</t>
  </si>
  <si>
    <t>3.</t>
  </si>
  <si>
    <t>6.</t>
  </si>
  <si>
    <t>Пермский край, Пермский район, Кукуштанское сельское поселение, п. Кукуштан</t>
  </si>
  <si>
    <t>7.</t>
  </si>
  <si>
    <t>Распределительный газопровод в с. Курашим, Кукуштанского сельского поселения</t>
  </si>
  <si>
    <t>Пермский край, Пермский район, Кукуштанское сельское поселение, с. Курашим</t>
  </si>
  <si>
    <t>Распределительный газопровод общей протяженностью 8811,17м</t>
  </si>
  <si>
    <t>4.</t>
  </si>
  <si>
    <t>5.</t>
  </si>
  <si>
    <t>Здание школы с земельным участком общей площадью 1792,7 кв.м.</t>
  </si>
  <si>
    <t>8.</t>
  </si>
  <si>
    <t>Распределительный газопровод низкого давления, д. Петровка, Култаевского сельского поселения</t>
  </si>
  <si>
    <t>Пермский край, Пермский район, Култаевское с/п, д. Петровка, ул. Набережная, ул. Кудрина, ул. Петровская, ул. Садовая, ул. Ташлыкова</t>
  </si>
  <si>
    <t>Распределительный газопровод низкого давления общей протяженностью 3080,47 п.м.</t>
  </si>
  <si>
    <t>9.</t>
  </si>
  <si>
    <t>Газоснабжение п. Курашим, Кукуштанское сельское поселение</t>
  </si>
  <si>
    <t>Пермский край, Пермский район, Кукуштанское с/п, п. Курашим</t>
  </si>
  <si>
    <t>Газоснабжение общей протяженностью 3247,99 п.м.</t>
  </si>
  <si>
    <t>10.</t>
  </si>
  <si>
    <t>Газоснабжение д. Крохово, Савинское сельское поселение</t>
  </si>
  <si>
    <t>Пермский край, Пермский район, Савинское сельское поселение, д. Крохово, ул. Казанский тракт, Клубная, Заюрчимская, Полевая, Засолочная, Тихая</t>
  </si>
  <si>
    <t>Газоснабжение общей протяженностью 6374 п.м.</t>
  </si>
  <si>
    <t>11.</t>
  </si>
  <si>
    <t>Распределительный газопровод с. Култаево, Култаевское сельское поселение</t>
  </si>
  <si>
    <t>Пермский край, Пермский район, Култаевское с/п, с. Култаево, ул. Р.Кашина, Заречная, Набережная, Н.Муллинская, пер. Почтовый</t>
  </si>
  <si>
    <t>Распределительный газопровод общей протяженностью 5680,10 п.м.</t>
  </si>
  <si>
    <t>Распределительный газопровод с. Юг, Юговское сельское поселение</t>
  </si>
  <si>
    <t>Пермский край, Пермский район, Юговское сельское поселение, с. Юг</t>
  </si>
  <si>
    <t>Распределительный газопровод общей протяженностью 53000</t>
  </si>
  <si>
    <t>ИТОГО</t>
  </si>
  <si>
    <t>2014 год</t>
  </si>
  <si>
    <t>-</t>
  </si>
  <si>
    <t>2015 год</t>
  </si>
  <si>
    <t xml:space="preserve">                         к решению Земского Собрания</t>
  </si>
  <si>
    <t>Увеличение прочих остатков денежных средств бюджета Пермского муниципального района</t>
  </si>
  <si>
    <t>Уменьшение прочих остатков денежных средств бюджета Пермского муниципального района</t>
  </si>
  <si>
    <t>Предоставление из бюджета Пермского муниципального района бюджетных кредитов бюджетам поселений</t>
  </si>
  <si>
    <t>Возврат бюджетных кредитов, представленных бюджетам поселений из бюджета Пермского муниципального района</t>
  </si>
  <si>
    <t>Иные межбюджетные трансферты, передаваемые из бюджетов поселений в районный бюджет в 2013 году</t>
  </si>
  <si>
    <t>Наименование поселения</t>
  </si>
  <si>
    <t xml:space="preserve"> Подготовка проектов планировки территорий,  проектов межевания</t>
  </si>
  <si>
    <t xml:space="preserve">генеральный план, правила землепользования и застройки </t>
  </si>
  <si>
    <t>Выполнение функций  по подготовке и согласованию генеральных планов, правил землепользования и застройки</t>
  </si>
  <si>
    <t>Выполнение  полномочий по решению вопросов  в области градостроительной деятельностити</t>
  </si>
  <si>
    <t>Регулирование тарифов на товары и услуги организаций коммунального комплекса и по определению норматива потребления коммунальных услуг</t>
  </si>
  <si>
    <t>Софинансирование подпрограммы"Обесп-е жильем молодых семей"ФЦП"Жилище"на 2011-2015 г." и  ДЦП"Обесп-е жильем молодых семей в Пермском крае на 2011-2015 годы"</t>
  </si>
  <si>
    <t>Проведение работ по ремонт объектов социальной сферы</t>
  </si>
  <si>
    <t>обеспечение мероприятий по переселению граждан из аварийного жилищного фонда</t>
  </si>
  <si>
    <t>Организация проведения текущего и капиталь-ного ремонта дорог, мостов</t>
  </si>
  <si>
    <t xml:space="preserve">Бершетское </t>
  </si>
  <si>
    <t xml:space="preserve">Гамовское </t>
  </si>
  <si>
    <t xml:space="preserve">Двуреченское </t>
  </si>
  <si>
    <t xml:space="preserve">Заболотское </t>
  </si>
  <si>
    <t xml:space="preserve">Кондратовское </t>
  </si>
  <si>
    <t>Кояновское</t>
  </si>
  <si>
    <t xml:space="preserve">Кукуштанское </t>
  </si>
  <si>
    <t xml:space="preserve">Култаевское </t>
  </si>
  <si>
    <t xml:space="preserve">Лобановское </t>
  </si>
  <si>
    <t xml:space="preserve">Мулянское </t>
  </si>
  <si>
    <t xml:space="preserve">Пальниковское </t>
  </si>
  <si>
    <t xml:space="preserve">Платошинское </t>
  </si>
  <si>
    <t xml:space="preserve">Савинское </t>
  </si>
  <si>
    <t xml:space="preserve">Соколовское </t>
  </si>
  <si>
    <t xml:space="preserve">Сылвенское </t>
  </si>
  <si>
    <t xml:space="preserve">Усть-Качкинское </t>
  </si>
  <si>
    <t xml:space="preserve">Фроловское </t>
  </si>
  <si>
    <t xml:space="preserve">Хохловское </t>
  </si>
  <si>
    <t xml:space="preserve">Юговское </t>
  </si>
  <si>
    <t xml:space="preserve">Юго-Камское </t>
  </si>
  <si>
    <t xml:space="preserve">Всего </t>
  </si>
  <si>
    <t>202 02088 00 0000 151</t>
  </si>
  <si>
    <t>Долгосрочная целевая программа "Предупреждение негативного воздействия вод и обеспечение безопасности гидротехнических сооружений Пермского края на 2013-2020 годы"- всего, в т.ч.:</t>
  </si>
  <si>
    <t xml:space="preserve">План развития общественной инфраструктуры Пермского муниципального района </t>
  </si>
  <si>
    <t>Направление,  заказчик, отрасль,  объект</t>
  </si>
  <si>
    <t>Всего   тыс.руб.</t>
  </si>
  <si>
    <t>в том числе</t>
  </si>
  <si>
    <t>федеральный  бюджет</t>
  </si>
  <si>
    <t>бюджеты поселений</t>
  </si>
  <si>
    <t>I</t>
  </si>
  <si>
    <t>Строительство (реконструкция), приобретение объектов общественной инфраструктуры</t>
  </si>
  <si>
    <t>Муниципальное учреждение "Управление капитального строительства"</t>
  </si>
  <si>
    <t xml:space="preserve"> 0409  Дорожное хозяйство (дорожные фонды)</t>
  </si>
  <si>
    <t>Реконструкция проезда от улицы С.Корнеева до ул.Большевитская в п. Сылва Пермского района</t>
  </si>
  <si>
    <t xml:space="preserve"> 0500 Жилищно-коммунальное хозяйство</t>
  </si>
  <si>
    <t>Распределительный газопровод по ул. Восточная, Центральная, Садовая в с.Гамово Пермского района</t>
  </si>
  <si>
    <t xml:space="preserve">Газовая блочная котельная здания школы, детского сада с.Нижний Пальник Пермского района </t>
  </si>
  <si>
    <t>Газопровод к котельной в   д. Няшино Фроловского сельского поселения</t>
  </si>
  <si>
    <t>Газоснабжение жилых домов № 16а, 22,43,45,47,49,51 по ул. Клубная в с. Фролы Фроловского сельского поселения</t>
  </si>
  <si>
    <t>Газоснабжение жилых домов в с.Нижние Муллы, д. Мураши, д. Ежи, д. Пищальниково, д. Усть-Тары, (1очередь)</t>
  </si>
  <si>
    <t>Распределительные газопроводы д.Кочкино Пермского  района</t>
  </si>
  <si>
    <t>Распределительные газопроводы по улицам Уральская, Промышленная, Островского, Юбилейная в пос. Кукуштан Пермского муниципального района</t>
  </si>
  <si>
    <t>Распределительный газопровод  по ул. Банная, ул. Гамовская в с. Гамово Пермского  муниципального района (ПИР)</t>
  </si>
  <si>
    <t>Пермский край, Пермский район, с.Курашим. Распределительный газопровод.</t>
  </si>
  <si>
    <t>0700 Образование</t>
  </si>
  <si>
    <t>Реконструкция здания интерната под детскую школу искусств в с. Култаево</t>
  </si>
  <si>
    <t>Реконструкция  здания детского сада                                                д. Горшки Заболотского сельского  поселения</t>
  </si>
  <si>
    <t>Реконструкция здания   школы  в с. Култаево</t>
  </si>
  <si>
    <t>Реконструкция здания   школы в п. Сылва</t>
  </si>
  <si>
    <t>Строительство здания спортивного зала Бабкинской школы в п. Кукуштан</t>
  </si>
  <si>
    <t>Строительство корпуса детского  сада с. Лобаново</t>
  </si>
  <si>
    <t xml:space="preserve">Строительство межшкольного стадиона  в п. Сылва </t>
  </si>
  <si>
    <t>0801 Культура</t>
  </si>
  <si>
    <t>0901 Стационарная медицинская помощь</t>
  </si>
  <si>
    <t>Реконструкция СВА в с.Бершеть</t>
  </si>
  <si>
    <t>Реконструкция здания для размещения филиала поликлиники в д.Нестюково</t>
  </si>
  <si>
    <t>Реконструкция здания под  ФАП д. Касимово Лобановского сельского поселения</t>
  </si>
  <si>
    <t xml:space="preserve">Реконструкция здания под  ФАП со встроенными жилыми помещениями  п. Протасы </t>
  </si>
  <si>
    <t xml:space="preserve">Строительство        СВА   с.Кояново </t>
  </si>
  <si>
    <t>Строительство СВА в д. Большое Савино</t>
  </si>
  <si>
    <t>Строительство ФАП  в п. Сокол</t>
  </si>
  <si>
    <t>Строительство ФАП в д. Ванюки Савинского сельского поселения</t>
  </si>
  <si>
    <t xml:space="preserve"> 1101 "Физическая культура "</t>
  </si>
  <si>
    <t>Строительство спортивного комплекса д. Кондратово Пермского муниципального района</t>
  </si>
  <si>
    <t>Муниципальное казенное учреждение                                      "Управление благоустройством Пермского муниципального района"</t>
  </si>
  <si>
    <t>0409 Дорожное хозяйство (дорожные фонды)</t>
  </si>
  <si>
    <t xml:space="preserve">Реконструкция автодороги «Ерепеты- Симакино» </t>
  </si>
  <si>
    <t xml:space="preserve">Реконструкция автодороги «п.Горный-д.Деребы» </t>
  </si>
  <si>
    <t xml:space="preserve">Реконструкция автодороги «Пермь-Екатеринбург-Курашим» </t>
  </si>
  <si>
    <t xml:space="preserve">Реконструкция автодороги «Пермь-Екатеринбург-Нефтяник» </t>
  </si>
  <si>
    <t xml:space="preserve">Реконструкция автодороги «Хохловка- Ширпы» </t>
  </si>
  <si>
    <t>Реконструкция автодороги «Гамово-Заречная»</t>
  </si>
  <si>
    <t>Реконструкция автодороги «Кичаново-Дикая Гарь1»</t>
  </si>
  <si>
    <t>Реконструкция автодороги «Кукуштан-Оса-Чайковский» -Октябрьский</t>
  </si>
  <si>
    <t>Реконструкция  очистных сооружений в п.Мулянка</t>
  </si>
  <si>
    <t>Строительство очистных сооружений в с.Ляды</t>
  </si>
  <si>
    <t xml:space="preserve"> 0412  Другие вопросы в области национальной экономики</t>
  </si>
  <si>
    <t>Генеральный план Бершетского  сельского поселения Пермского муниципального района Пермского края с генеральными планами для 2 населенных пунктов и Правил землепользования и застройки поселения</t>
  </si>
  <si>
    <t>Генеральный план Гамовского  сельского поселения Пермского муниципального района Пермского края с генеральными планами для 2 населенных пунктов и Правил землепользования и застройки поселения</t>
  </si>
  <si>
    <t>Генеральный план Кондратовского  сельского поселения Пермского муниципального района Пермского края с генеральными планами для 3 населенных пунктов и Правил землепользования и застройки поселения</t>
  </si>
  <si>
    <t>Разработка Генерального плана Култаевского  сельского поселения Пермского муниципального района Пермского края с генеральными планами для перспективных (9) населенных пунктов и Правил землепользования и застройки поселения</t>
  </si>
  <si>
    <t>Генеральный план Мулянского  сельского поселения Пермского муниципального района Пермского края с генеральными планами для 3 населенных пунктов и Правил землепользования и застройки поселения</t>
  </si>
  <si>
    <t>Генеральный план Пальниковского  сельского поселения Пермского муниципального района Пермского края с генеральными планами для 4 населенных пунктов и Правил землепользования и застройки поселения</t>
  </si>
  <si>
    <t>Генеральный план Савинского сельского  поселения</t>
  </si>
  <si>
    <t>Генеральный план Соколовского  сельского поселения Пермского муниципального района Пермского края, с генеральным планом для перспективного (1) населенного пункта и Правил землепользования и застройки поселения</t>
  </si>
  <si>
    <t>Генеральный план Сылвенского  сельского поселения Пермского муниципального района Пермского края с генеральными планами для 6 населенных пунктов и Правил землепользования и застройки поселения</t>
  </si>
  <si>
    <t>Генеральный план Фроловского сельского поселения Пермского муниципального района Пермского края с генеральными планами для 7 населенных пунктов и Правил землепользования и застройки поселения</t>
  </si>
  <si>
    <t>Генерального плана Хохловского  сельского поселения Пермского муниципального района Пермского края с генеральными планами для 10 населенных пунктов и Правил землепользования и застройки поселения</t>
  </si>
  <si>
    <t>Генеральный план Юговского  сельского поселения Пермского муниципального района Пермского края с генеральным планом для п. Юг и Правил землепользования и застройки поселения</t>
  </si>
  <si>
    <t>0501Жилищное хозяйство</t>
  </si>
  <si>
    <t>Приобретение  служебного жилья</t>
  </si>
  <si>
    <t>Приобретение здания для размещения  интерната в п. Мулянка Пермского муниципального района</t>
  </si>
  <si>
    <t>Приобретение здания  для размещения детского сада в  п.  Ферма  Пермского муниципального района</t>
  </si>
  <si>
    <t>Приобретение здания  для размещения СВА со встроенными жилыми помещениями в п.Юг  Юговского сельского поселения</t>
  </si>
  <si>
    <t>Приобретение здания СВА в с. Усть-Качка Усть-Качкинского сельского поселения</t>
  </si>
  <si>
    <t>Строительство (реконструкция), приобретение  объектов общественной инфраструктуры</t>
  </si>
  <si>
    <t>Строительство ФАП в д. Косатуриха</t>
  </si>
  <si>
    <t>Строительство ФАП со встроенными жилыми помещениямив в п. Сухобизярка</t>
  </si>
  <si>
    <t>Строительство ФАП со встроенными жилыми помещениямив в п.Бырма</t>
  </si>
  <si>
    <t>Строительство ФАП со встроенными жилыми помещениямив в с. Новоильинское</t>
  </si>
  <si>
    <t xml:space="preserve">Реконструкция автодороги «Горшки- Новоильинск» </t>
  </si>
  <si>
    <t xml:space="preserve">Реконструкция автодороги «Рождественск-Усть-Пизя» </t>
  </si>
  <si>
    <t>Приобретение здания для размещения  детского сада в с. Гамово  Пермского муниципального района</t>
  </si>
  <si>
    <t>Приобретение здания для размещения  детского сада в с. Култаево  Пермского муниципального района</t>
  </si>
  <si>
    <t>ВСЕГО   2013-2015 годы</t>
  </si>
  <si>
    <t>Приложение 1</t>
  </si>
  <si>
    <t>Нормативы распределения  по отдельным видам доходов между районным бюджетом и бюджетами поселений  на 2013 год и на плановый период 2014 и 2015 годов</t>
  </si>
  <si>
    <t>(в процентах)</t>
  </si>
  <si>
    <t>Наименование дохода</t>
  </si>
  <si>
    <t>бюджеты     поселений</t>
  </si>
  <si>
    <t>В части погашения задолженности и перерасчетов по отмененным налогам, сборам и иным обязательным платежам</t>
  </si>
  <si>
    <t xml:space="preserve"> - налог на рекламу, мобилизируемый на территориях муниципальных районов</t>
  </si>
  <si>
    <t xml:space="preserve"> - целевые сборы с граждан и предприятий, учреждений, оганизаций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</si>
  <si>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 xml:space="preserve"> - прочие местные налоги и сборы, мобилизуемые на территориях муниципальных районов</t>
  </si>
  <si>
    <t xml:space="preserve">Прочие доходы от оказания платных услуг (работ) получателями средств бюджетов муниципальных районов </t>
  </si>
  <si>
    <t>Прочие доходы от компенсации затрат бюджетов муниципальных районов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</si>
  <si>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 обязательствам, возникшим до 1 января 2008 года)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</si>
  <si>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</si>
  <si>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В части прочих неналоговых доходов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</si>
  <si>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</si>
  <si>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</si>
  <si>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Главные администраторы источников финансирования дефицита бюджета муниципального района</t>
  </si>
  <si>
    <t>01 02 00 00 05</t>
  </si>
  <si>
    <t>0000</t>
  </si>
  <si>
    <t>Получение кредитов от кредитных организаций бюджетом Пермского муниципального района</t>
  </si>
  <si>
    <t>Погашение бюджетом Пермского муниципального района кредитов, полученных от кредитных организаций</t>
  </si>
  <si>
    <t>01 03 01 00 05</t>
  </si>
  <si>
    <t>Получение кредитов из краевого бюджета бюджетом Пермского муниципального района в валюте Российской Федерации</t>
  </si>
  <si>
    <t>Погашение бюджетом Пермского муниципального района кредитов полученных из краевого бюджета в валюте Российской Федерации</t>
  </si>
  <si>
    <t>Финансово-экономическое управление администрации муниципального образования "Пермский муниципальный район"</t>
  </si>
  <si>
    <t>01 05 02 01 05</t>
  </si>
  <si>
    <t>01 06 05 01 05</t>
  </si>
  <si>
    <t>Возврат бюджетных кредитов, предоставленных юридическим лицам из бюджета муниципального района</t>
  </si>
  <si>
    <t>01 06 05 02 05</t>
  </si>
  <si>
    <t>01 06 08 00 05</t>
  </si>
  <si>
    <t>Возврат прочих бюджетных кредитов (ссуд), предоставленных из бюджета Пермского муниципального района внутри страны</t>
  </si>
  <si>
    <t>01 06 01 00 05</t>
  </si>
  <si>
    <t>Средства от продажи акций и иных форм участия в капитале, находящихся в муниципальной собственности</t>
  </si>
  <si>
    <t>521 07 30</t>
  </si>
  <si>
    <t>Пермский край, Пермский район, с.Курашим. Распределительный газопровод</t>
  </si>
  <si>
    <t>Бюджетные инвестиции в объекты муниципальной собственности муниципальным учреждениям-всего, в т.ч.:</t>
  </si>
  <si>
    <t xml:space="preserve">Распределение средств регионального фонда софинансирования расходов и объемы долевого участия на 2013 год    </t>
  </si>
  <si>
    <t>Перечень   проектов</t>
  </si>
  <si>
    <t xml:space="preserve">  краевой бюджет</t>
  </si>
  <si>
    <t>"Новая школа"</t>
  </si>
  <si>
    <t>"Качественное здравоохранение"</t>
  </si>
  <si>
    <t>"Муниципальные дороги"</t>
  </si>
  <si>
    <t>Капитальный ремонт автомобильной дороги "Городская свалка-Жебреи-Русское поле"</t>
  </si>
  <si>
    <t>"Достойное жилье" - всего</t>
  </si>
  <si>
    <t>Капитальный ремонт многоквартирных домов Сылвенского сельского поселения</t>
  </si>
  <si>
    <t>"Сельское жилье" - всего, в т.ч.:</t>
  </si>
  <si>
    <t>Бершетское сельское поселение</t>
  </si>
  <si>
    <t>Гамовское сельское поселение</t>
  </si>
  <si>
    <t>Култаевское сельское поселение</t>
  </si>
  <si>
    <t>"Приведение в нормативное состояние объектов социальной сферы"- всего, в т.ч.:</t>
  </si>
  <si>
    <t>приобретение оборудования муниципальным бюджетным образовательным учреждениям дополнительного образования детей детских школ  искусств</t>
  </si>
  <si>
    <t>капитальный ремонт Юго-Камского дома культуры</t>
  </si>
  <si>
    <t>капитальный ремонт Лобановского сельского дома культуры</t>
  </si>
  <si>
    <t>капитальный ремонт Сылвенского дворца культуры (филиал в п.Ст.Ляды)</t>
  </si>
  <si>
    <t>приведение в нормативное состояние библиотек района в части их комплектования компьютерной техникой</t>
  </si>
  <si>
    <t>Итого по приоритетным проектам</t>
  </si>
  <si>
    <t>Приобретение здания для размещения детского сада в п.Ферма Пермского муниципального  района</t>
  </si>
  <si>
    <t>Итого по инвестиционным проектам</t>
  </si>
  <si>
    <t>Всего</t>
  </si>
  <si>
    <t xml:space="preserve">                                        Приложение 2</t>
  </si>
  <si>
    <t xml:space="preserve">           Приложение  3</t>
  </si>
  <si>
    <t xml:space="preserve">                                                                                   Приложение  4</t>
  </si>
  <si>
    <t xml:space="preserve"> Приложение 13</t>
  </si>
  <si>
    <t>Иные закупки товаров, работ и услуг для муниципальных нужд -всего, в т.ч.:</t>
  </si>
  <si>
    <t>Иные закупки товаров, работ и услуг для муниципальных нужд - всего, в т.ч.:</t>
  </si>
  <si>
    <t>Программа муниципальных заимствований Пермского муниципального района                                              на 2013 годы</t>
  </si>
  <si>
    <t>Перечень внутренних заимствований</t>
  </si>
  <si>
    <t>Бюджетные кредиты, привлеченные в бюджет Пермского муниципального района из бюджета Пермского края</t>
  </si>
  <si>
    <t>1.1.</t>
  </si>
  <si>
    <t>задолженность на 01.01.2013</t>
  </si>
  <si>
    <t>1.2.</t>
  </si>
  <si>
    <t>привлечение средств в 2013 году</t>
  </si>
  <si>
    <t>1.3.</t>
  </si>
  <si>
    <t>погашение основной суммы задолженности в 2013 году</t>
  </si>
  <si>
    <t>1.4.</t>
  </si>
  <si>
    <t>задолженность на 01.01.2014</t>
  </si>
  <si>
    <t>Кредиты кредитных организаций</t>
  </si>
  <si>
    <t>2.1.</t>
  </si>
  <si>
    <t>2.2.</t>
  </si>
  <si>
    <t>2.3.</t>
  </si>
  <si>
    <t>2.4.</t>
  </si>
  <si>
    <t>Программа муниципальных заимствований Пермского муниципального района                                              на 2014 - 2015 годы</t>
  </si>
  <si>
    <t>2014 год.</t>
  </si>
  <si>
    <t>задолженность на начало финансового года</t>
  </si>
  <si>
    <t>привлечение средств  в финансовом году</t>
  </si>
  <si>
    <t>погашение основной суммы задолженности  в финансовом году</t>
  </si>
  <si>
    <t>1.5.</t>
  </si>
  <si>
    <t>задолженность на 01.01.2015</t>
  </si>
  <si>
    <t>2.5.</t>
  </si>
  <si>
    <t xml:space="preserve">                                                                    к решению Земского Собрания</t>
  </si>
  <si>
    <t>Источники финансирования дефицита бюджета муниципального района на 2013 год</t>
  </si>
  <si>
    <t>Код админист-ратора</t>
  </si>
  <si>
    <t>Код классификации источников внутреннего финансирования дефицита бюджета</t>
  </si>
  <si>
    <t>Наименование главных администраторов источников внутреннего финансирования дефицита бюджета муниципального района</t>
  </si>
  <si>
    <t>01 03 00 00 05 0000 710</t>
  </si>
  <si>
    <t>Получение бюджетом Пермского муниципального района кредитов, полученных из краевого бюджета</t>
  </si>
  <si>
    <t>01 03 00 00 05 0000 810</t>
  </si>
  <si>
    <t>Погашение бюджетом Пермского муниципального района кредитов, полученных из краевого бюджета</t>
  </si>
  <si>
    <t>01 02 00 00 05 0000 710</t>
  </si>
  <si>
    <t>Получение бюджетом Пермского муниципального района кредитов от кредитных организаций</t>
  </si>
  <si>
    <t>01 02 00 00 05 0000 810</t>
  </si>
  <si>
    <t>Погашение бюджетом Пермского муниципального района кредитов от кредитных организаций</t>
  </si>
  <si>
    <t>01 05 02 01 05 0000 510</t>
  </si>
  <si>
    <t>01 05 02 01 05 0000 610</t>
  </si>
  <si>
    <t>01 06 05 01 05 1000 640</t>
  </si>
  <si>
    <t>Возврат бюджетных кредитов, предоставленные юридическим лицам из бюджета Пермского муниципального района</t>
  </si>
  <si>
    <t>01 06 05 02 05 0000 540</t>
  </si>
  <si>
    <t>01 06 05 02 05 0000 640</t>
  </si>
  <si>
    <t>01 06 08 00 05 0000 640</t>
  </si>
  <si>
    <t>Возврат прочих бюджетных (ссуд), предоставленных из бюджета Пермского муниципального района</t>
  </si>
  <si>
    <t>Итого источников финансирования</t>
  </si>
  <si>
    <t>Строительство ФАП со встроенными жилыми помещениями  в с. Троица</t>
  </si>
  <si>
    <t>Источники финансирования дефицита бюджета муниципального района на 2014-2015 годы</t>
  </si>
  <si>
    <t>Код администратора</t>
  </si>
  <si>
    <t>2014 г.                  Сумма, тыс.руб.</t>
  </si>
  <si>
    <t>2015 г.                  Сумма, тыс.руб.</t>
  </si>
  <si>
    <t>Приложение 6</t>
  </si>
  <si>
    <t>Изменения в распределение бюджетных ассигнований на 2014 и 2015  год  по разделам и подразделам, целевым статьям и видам расходов классификации расходов бюджета</t>
  </si>
  <si>
    <t>Изменения в ведомственную структуру расходов бюджета на 2014 2015  год</t>
  </si>
  <si>
    <t>2014 год                   Сумма, тыс.руб.</t>
  </si>
  <si>
    <t>2015 год                   Сумма, тыс.руб.</t>
  </si>
  <si>
    <t>Строительство межшкольного стадиона МОУ Гамовская СОШ</t>
  </si>
  <si>
    <t>Строительство межшкольного стадиона МОУ Савинская СОШ</t>
  </si>
  <si>
    <t>Строительство межшкольного стадиона МОУ Бершетская СОШ</t>
  </si>
  <si>
    <t>Строительство межшкольного стадиона МОУ Юго-Камская СОШ</t>
  </si>
  <si>
    <t>521 07 20</t>
  </si>
  <si>
    <t>Реконструкция проезда от улицы С.Корнеева до ул. Большевистская в п. Сылва Пермского района</t>
  </si>
  <si>
    <t>102 02 78</t>
  </si>
  <si>
    <t>Строительство детского сада в пос.Сокол</t>
  </si>
  <si>
    <t>102 02 34</t>
  </si>
  <si>
    <t>Строительство межшкольного стадиона в п.Сылва</t>
  </si>
  <si>
    <t>795 10 13</t>
  </si>
  <si>
    <t>ДЦП "Энергосбережение и повышение энергетической эффективности в муниципальных учреждениях Пермского муниципального района на период до 2015 года"</t>
  </si>
  <si>
    <t>795 10 02</t>
  </si>
  <si>
    <t>ДЦП"Поддержка малого предпринимательства в Пермском муниципальном районе на 2011-2015 годы"</t>
  </si>
  <si>
    <t>100 00 00</t>
  </si>
  <si>
    <t>100 88 00</t>
  </si>
  <si>
    <t>100 88 20</t>
  </si>
  <si>
    <t>Федеральные целевые программы</t>
  </si>
  <si>
    <t>Федеральная целевая программа "Жилище" на 2011-2015 годы</t>
  </si>
  <si>
    <t>Подпрограмма "Обеспечение жильем молодых семей"  ФЦП "Жилище" на 2011-2015 годы</t>
  </si>
  <si>
    <t>092 32 00</t>
  </si>
  <si>
    <t>092 32 02</t>
  </si>
  <si>
    <t>Реализация программ и мероприятий по модернизации здравоохранения</t>
  </si>
  <si>
    <t>Программа модернизации  здравоохранения Пермского края в части внедрения современных информационных систем в здравоохранение за счет средств федерального бюджета</t>
  </si>
  <si>
    <t>522 10 00</t>
  </si>
  <si>
    <t>522 10 20</t>
  </si>
  <si>
    <t>Долгосрочная целевая программа «Пожарная безопасность на территории Пермского края, обеспечение нормативного состояния государственных и муниципальных учреждений Пермского края на период 2010-2014 годов"</t>
  </si>
  <si>
    <t>Мероприятия по обеспечению пожарной безопасности</t>
  </si>
  <si>
    <t>0904</t>
  </si>
  <si>
    <t>0909</t>
  </si>
  <si>
    <t>Скорая медицинская помощь</t>
  </si>
  <si>
    <t>Другие вопросы в области здравоохранения</t>
  </si>
  <si>
    <t>505 47 00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</si>
  <si>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 и поселках городского типа (рабочих по-селках), по оплате жилого помещения и коммунальных услуг</t>
  </si>
  <si>
    <t>Резерв</t>
  </si>
  <si>
    <t>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</si>
  <si>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</si>
  <si>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</si>
  <si>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2 19 00000 00 0000 151</t>
  </si>
  <si>
    <t>202 02089 00 0000 151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</si>
  <si>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</si>
  <si>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</si>
  <si>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</si>
  <si>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</si>
  <si>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</si>
  <si>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Мероприятия, направленные на снижение уровня преступности</t>
  </si>
  <si>
    <t>0707</t>
  </si>
  <si>
    <t>304 00 00</t>
  </si>
  <si>
    <t>432 00 00</t>
  </si>
  <si>
    <t>432 02 00</t>
  </si>
  <si>
    <t>432 02 01</t>
  </si>
  <si>
    <t>0709</t>
  </si>
  <si>
    <t>Молодежная политика и оздоровление детей</t>
  </si>
  <si>
    <t>Другие вопросы в области образования</t>
  </si>
  <si>
    <t>Мероприятия по проведению оздоровительной кампании детей</t>
  </si>
  <si>
    <t>Организация отдыха детей в каникулярное время</t>
  </si>
  <si>
    <t>2 18 00000 00 0000 151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</si>
  <si>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</si>
  <si>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</si>
  <si>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</si>
  <si>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2 18 05000 05 0000 151</t>
  </si>
  <si>
    <t>2 18 05010 05 0000 151</t>
  </si>
  <si>
    <t>Доходы бюджетов муниципальных районов от возврата автономными учреждениями остатков субсидий прошлых лет</t>
  </si>
  <si>
    <t>102 02 75</t>
  </si>
  <si>
    <t>Приобретение здания для размещения детского сада в п. Ферма Пермского муниципального района</t>
  </si>
  <si>
    <t>315 02 00</t>
  </si>
  <si>
    <t>315 02 05</t>
  </si>
  <si>
    <t>Отдельные мероприятия в области дорожного хозяйства</t>
  </si>
  <si>
    <t>Расходы на содержание и текущий ремонт автомобильных дорог и искуственных сооружений на них</t>
  </si>
  <si>
    <t>9999</t>
  </si>
  <si>
    <t>Условно утвержденные расходы</t>
  </si>
  <si>
    <t>999 00 00</t>
  </si>
  <si>
    <t>999</t>
  </si>
  <si>
    <t>2014 г.   Сумма         тыс. руб.</t>
  </si>
  <si>
    <t>521 07 35</t>
  </si>
  <si>
    <t>521 07 36</t>
  </si>
  <si>
    <t>521 07 37</t>
  </si>
  <si>
    <t>Наружный газопровод к котельной по ул.Труда, 5а. в п.Юго-Камский Пермского района</t>
  </si>
  <si>
    <t>Наружный газопровод к котельной по ул. 3-я Пятилетка, 44б в п. Юго-Камский Пермского района</t>
  </si>
  <si>
    <t>Наружный газопровод к котельной  по ул.Кирова, 60 б. в  п.Юго-Камский Пермского района</t>
  </si>
  <si>
    <t>102 02 05</t>
  </si>
  <si>
    <t>Строительство детского сада в с.Кояново Пермского муниципального района.</t>
  </si>
  <si>
    <t>2 18 05010 05 0000 180</t>
  </si>
  <si>
    <t>2 18 05020 05 0000 180</t>
  </si>
  <si>
    <t>Доходы бюджетов муниципальных районов от возврата  остатков субсидий, субвенций, иных межбюджетных трансфертов, имеющих целевое назначение, прошлых лет из бюджетов поселений</t>
  </si>
  <si>
    <t>092 03 25</t>
  </si>
  <si>
    <t>Конкурс по достижению наиболее результативных показателей деятельности органов местного самоуправления сельских поселений</t>
  </si>
  <si>
    <t>Иные межбюджетные трансферты, передаваемые из бюджетов поселений в районный бюджет в 2014 году</t>
  </si>
  <si>
    <t>Выполнение  полномочий по решению вопросов  в области градостроительной деят-ти</t>
  </si>
  <si>
    <t>Финанси-рование инвести-ционных проектов</t>
  </si>
  <si>
    <t>1990</t>
  </si>
  <si>
    <t>помещения 1-31 на 1-этаже, помещения 1-20, 22-24 на 2-м этаже, помещения 1,2 в подвале в 2-этажном панельном здании</t>
  </si>
  <si>
    <t>1980</t>
  </si>
  <si>
    <t>Здание котельной с земельным участком</t>
  </si>
  <si>
    <t>Пермский край, Пермский район, Кояновское сельское поселение, с. Кояново, ул. Советская, д. 133а</t>
  </si>
  <si>
    <t xml:space="preserve">1-этажное здание котельной, назначение: нежилое, общей площадью 129,7 кв.м., </t>
  </si>
  <si>
    <t>Распределительные газопроводы среднего и низкого давления по ул. Школьная, Ворошилова, Мира, Коммунистическая, Луговая, Уральская в п. Кукуштан, Пермского района</t>
  </si>
  <si>
    <t>Распределительные газопроводы среднего и низкого давления общей протяженностью 6805 м</t>
  </si>
  <si>
    <t>2012</t>
  </si>
  <si>
    <t>Здание фельдшерского-акушерского пункта с земельным участком общей площадью 231,9 кв.м.</t>
  </si>
  <si>
    <t>Пермский край, Пермский район, Хохловское с/п, д. Скобелевка, ул. Гагарина, д. 4а</t>
  </si>
  <si>
    <t>1-этажное здание фельдшерско-акушерского пункта, назначение: нежилое, санитарии и здравоохранения, общей площадью, 231,9 кв.м.</t>
  </si>
  <si>
    <t>Пермский край, Пермский район, Сылвенское с/п, п. Сылва, ул. Большевистская, 30</t>
  </si>
  <si>
    <t xml:space="preserve">Двухэтажное кирпичное здание школы с подвалом общей площадью 1792,7 кв.м. с земельным участком общей площадью 18735 кв.м., разрешенное использование: для обучения детей, категория земель: земли населенных пунктов </t>
  </si>
  <si>
    <t>12.</t>
  </si>
  <si>
    <t>13.</t>
  </si>
  <si>
    <t>Здание поликлиники с земельным участком общей площадью  1500 кв.м.</t>
  </si>
  <si>
    <t>Пермский край, Пермский район, Юговское сельское поселение, с. Юг, ул. Ленина д.6</t>
  </si>
  <si>
    <t>1-этажное здание поликлиники, назначение:нежилое, общей площадью 249,9 кв.м., с земельным участком общей площадью 1500 кв.м., категория земель: земли населенных пунктов, разрешенное использование: под общественную застройку (здание поликлиники)</t>
  </si>
  <si>
    <t>_</t>
  </si>
  <si>
    <t>Рыночная стоимость, тыс.руб.</t>
  </si>
  <si>
    <t>Пермский край, г.Пермь,ул.2-я  Казанцевская, 7</t>
  </si>
  <si>
    <t>Изменения в доходы бюджета муниципального района на 2014 год</t>
  </si>
  <si>
    <t>Газоснабжение жилых домов № 16а, 22,43,45,47,49,51 по ул. Клубная в с. Фролы  Пермского района</t>
  </si>
  <si>
    <t>Распределительный газопровод  протяженностью 1,3 км в   пос. Сылва Пермского района</t>
  </si>
  <si>
    <t>Распределительные газопроводы по улицам Уральская, Промышленная, Островского, Юбилейная в п. Кукуштан Пермского  района</t>
  </si>
  <si>
    <t>Распределительные уличные газопроводы в с.Нижний Пальник Пермского района</t>
  </si>
  <si>
    <t xml:space="preserve">Строительство межшкольного стадиона в п.Кукуштан </t>
  </si>
  <si>
    <t>Строительство детского сада в пос. Сокол</t>
  </si>
  <si>
    <t>Строительство детского сада в с. Кояново Пермского муниципального района</t>
  </si>
  <si>
    <t>Строительство СВА в д. Крохово</t>
  </si>
  <si>
    <t>Строительство межшкольного стадиона МОУ Бершетская  СОШ</t>
  </si>
  <si>
    <t>Строительство межшкольного стадиона  МОУ Гамовская  СОШ</t>
  </si>
  <si>
    <t>Строительство межшкольного стадиона  МОУ  Юго-Камская  СОШ</t>
  </si>
  <si>
    <t>Реконструкция автодороги «Кукуштан (по ул.Сибирский тракт) - Платошино»</t>
  </si>
  <si>
    <t>521 07 04</t>
  </si>
  <si>
    <t>521 07 09</t>
  </si>
  <si>
    <t>Распределительные газопроводы по улицам Победы, Юбилейная, Железнодорожная, Тимирязева п. Сылва Сылвенского сельского поселения</t>
  </si>
  <si>
    <t>Распределительные газопроводы по улицам Уральская, Промышленная, Островского, Юбилейная в пос. Кукуштан Пермского муниципального  района</t>
  </si>
  <si>
    <t>521 07 41</t>
  </si>
  <si>
    <t>102 02 67</t>
  </si>
  <si>
    <t>100 11 00</t>
  </si>
  <si>
    <t>Федеральная целевая программа "Социальное развитие села до 2013 года"</t>
  </si>
  <si>
    <t>Бюджетные инвестиции в объекты муниципальной собственности бюджетным учреждениям-всего, в.т.ч.:</t>
  </si>
  <si>
    <t>федеральный бюджет</t>
  </si>
  <si>
    <t>в том числе:</t>
  </si>
  <si>
    <t>"Ликвидация (ветхих аварийных) домов"  в софинансировании со средствами Фонда в рамках  Федерального закона № 185-ФЗ от 21.07.2007-всего</t>
  </si>
  <si>
    <t>Кукуштанское сельское поселение</t>
  </si>
  <si>
    <t>Лобановское сельское поселение</t>
  </si>
  <si>
    <t>Мулянское сельское поселение</t>
  </si>
  <si>
    <t>Сылвенское сельское поселение</t>
  </si>
  <si>
    <t>Юго-Камское сельское поселение</t>
  </si>
  <si>
    <t>Двуреченское сельское поселение</t>
  </si>
  <si>
    <t>Савинское сельское поселение</t>
  </si>
  <si>
    <t>Усть-Качкинское сельское поселение</t>
  </si>
  <si>
    <t>"Ликвидация (ветхих аварийных) домов"  Лобановское сельское поселение</t>
  </si>
  <si>
    <t>"Капитальный ремонт многоквартирных домов" в софинансировании со средствами Фонда в рамках  Федерального Закона № 185-ФЗ от 21.07.2007- Гамовское сельское поселение</t>
  </si>
  <si>
    <t xml:space="preserve"> Приложение  20</t>
  </si>
  <si>
    <t xml:space="preserve">                                                                                                                                               Приложение 5</t>
  </si>
  <si>
    <t>Приложение 7</t>
  </si>
  <si>
    <t xml:space="preserve">                                                                            Приложение 8</t>
  </si>
  <si>
    <t xml:space="preserve">                                                                            Приложение 9</t>
  </si>
  <si>
    <t xml:space="preserve">                                                                                                       Приложение 10</t>
  </si>
  <si>
    <t xml:space="preserve">                                                                                                       Приложение 11</t>
  </si>
  <si>
    <t>Приложение  12</t>
  </si>
  <si>
    <t xml:space="preserve"> Приложение 14</t>
  </si>
  <si>
    <t xml:space="preserve"> Приложение  15</t>
  </si>
  <si>
    <t xml:space="preserve"> Приложение 16</t>
  </si>
  <si>
    <t>Приложение 18</t>
  </si>
  <si>
    <t xml:space="preserve"> Приложение 17</t>
  </si>
  <si>
    <t>Приложение 19</t>
  </si>
  <si>
    <t>1001 - возврат ссуд по программе "Сельский дом";   1003 - возврат ссуд, выданных из бюджета муниципального района на приобретение и строительство жилья</t>
  </si>
  <si>
    <t xml:space="preserve">  к решению Земского Собрания </t>
  </si>
  <si>
    <t>Субсидии юридическим лицам (кроме муниципальных учреждений)  и физическим лицам - производителям товаров, работ, услуг</t>
  </si>
  <si>
    <t>в т.ч. за счет средств ОАО "ЛУКОЙЛ"</t>
  </si>
  <si>
    <t>102 02 12</t>
  </si>
  <si>
    <t>Строительство  СВА с.Кояново</t>
  </si>
  <si>
    <t>Реконструкция  здания детского сада                                                  д. Горшки Заболотского сельского  поселения</t>
  </si>
  <si>
    <t>от 30.05.2013 № 353</t>
  </si>
  <si>
    <t xml:space="preserve">           от 30.05.2013 № 353</t>
  </si>
  <si>
    <t xml:space="preserve">                                                                                      от 30.05.2013 № 353</t>
  </si>
  <si>
    <t xml:space="preserve">                                                                                                                                                   от 30.05.2013 № 353   </t>
  </si>
  <si>
    <t xml:space="preserve">                                                                          от 30.05.2013 № 353 </t>
  </si>
  <si>
    <t xml:space="preserve">                                                                от 30.05.2013 № 353</t>
  </si>
  <si>
    <t xml:space="preserve">                                                                                                       от 30.05.2013 № 353</t>
  </si>
  <si>
    <t xml:space="preserve">от  30.05.2013 № 353 </t>
  </si>
  <si>
    <t xml:space="preserve"> от 30.05.2013 № 353  </t>
  </si>
  <si>
    <t>Социальные выплаты гражданам, кроме публичных нормативных социальных выплат</t>
  </si>
  <si>
    <t>Бюджетные инвестиции на приобретение объектов недвижимого имущества-всего, в т.ч.:</t>
  </si>
  <si>
    <t>Расходы на выплаты персоналу в целях обеспечения выполнения функций органами местного самоуправления, казенными учреждениями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</si>
</sst>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  <numFmt numFmtId="167" formatCode="#,##0.000"/>
    <numFmt numFmtId="168" formatCode="?"/>
    <numFmt numFmtId="169" formatCode="0.00000"/>
    <numFmt numFmtId="170" formatCode="#,##0.0"/>
    <numFmt numFmtId="171" formatCode="#,##0.0_ ;\-#,##0.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_(* #,##0.000_);_(* \(#,##0.000\);_(* &quot;-&quot;??_);_(@_)"/>
    <numFmt numFmtId="178" formatCode="_(* #,##0.0_);_(* \(#,##0.0\);_(* &quot;-&quot;??_);_(@_)"/>
    <numFmt numFmtId="179" formatCode="#,##0.000_р_.;\-#,##0.000_р_."/>
    <numFmt numFmtId="180" formatCode="#,##0.0_р_.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#,##0_ ;\-#,##0\ "/>
    <numFmt numFmtId="185" formatCode="#,##0.00_ ;\-#,##0.00\ "/>
    <numFmt numFmtId="186" formatCode="#,##0.0_р_.;\-#,##0.0_р_."/>
    <numFmt numFmtId="187" formatCode="_-* #,##0.0_р_._-;\-* #,##0.0_р_._-;_-* &quot;-&quot;?_р_._-;_-@_-"/>
    <numFmt numFmtId="188" formatCode="#,##0.000_ ;\-#,##0.000\ "/>
    <numFmt numFmtId="189" formatCode="_-* #,##0.00_р_._-;\-* #,##0.00_р_._-;_-* &quot;-&quot;???_р_._-;_-@_-"/>
    <numFmt numFmtId="190" formatCode="_(* #,##0_);_(* \(#,##0\);_(* &quot;-&quot;??_);_(@_)"/>
    <numFmt numFmtId="191" formatCode="#,##0.00_р_."/>
    <numFmt numFmtId="192" formatCode="0.0000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6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 CE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1"/>
      <name val="Times New Roman"/>
      <family val="1"/>
    </font>
    <font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" fontId="7" fillId="0" borderId="1" applyNumberFormat="0" applyProtection="0">
      <alignment horizontal="right" vertical="center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2" applyNumberFormat="0" applyAlignment="0" applyProtection="0"/>
    <xf numFmtId="0" fontId="55" fillId="27" borderId="3" applyNumberFormat="0" applyAlignment="0" applyProtection="0"/>
    <xf numFmtId="0" fontId="56" fillId="27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7" fillId="3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630">
    <xf numFmtId="0" fontId="0" fillId="0" borderId="0" xfId="0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49" fontId="6" fillId="0" borderId="11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1" fillId="0" borderId="0" xfId="67" applyNumberFormat="1" applyFont="1" applyFill="1" applyAlignment="1">
      <alignment horizontal="center" vertical="center"/>
    </xf>
    <xf numFmtId="166" fontId="1" fillId="0" borderId="0" xfId="67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1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58" applyFont="1" applyFill="1" applyBorder="1" applyAlignment="1">
      <alignment horizontal="center" vertical="center" wrapText="1"/>
      <protection/>
    </xf>
    <xf numFmtId="49" fontId="1" fillId="0" borderId="11" xfId="58" applyNumberFormat="1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6" fontId="1" fillId="0" borderId="0" xfId="67" applyNumberFormat="1" applyFont="1" applyFill="1" applyAlignment="1">
      <alignment horizontal="left" vertical="top"/>
    </xf>
    <xf numFmtId="167" fontId="8" fillId="0" borderId="0" xfId="0" applyNumberFormat="1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166" fontId="5" fillId="0" borderId="11" xfId="6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3" fontId="11" fillId="0" borderId="14" xfId="6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" fillId="0" borderId="11" xfId="55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1" fillId="13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167" fontId="1" fillId="13" borderId="14" xfId="67" applyNumberFormat="1" applyFont="1" applyFill="1" applyBorder="1" applyAlignment="1">
      <alignment horizontal="center" vertical="center" wrapText="1"/>
    </xf>
    <xf numFmtId="167" fontId="1" fillId="34" borderId="14" xfId="67" applyNumberFormat="1" applyFont="1" applyFill="1" applyBorder="1" applyAlignment="1">
      <alignment horizontal="center" vertical="center" wrapText="1"/>
    </xf>
    <xf numFmtId="167" fontId="1" fillId="13" borderId="14" xfId="0" applyNumberFormat="1" applyFont="1" applyFill="1" applyBorder="1" applyAlignment="1">
      <alignment horizontal="center" vertical="center"/>
    </xf>
    <xf numFmtId="167" fontId="1" fillId="34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justify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3" fontId="1" fillId="0" borderId="0" xfId="67" applyFont="1" applyFill="1" applyAlignment="1">
      <alignment vertical="center" wrapText="1"/>
    </xf>
    <xf numFmtId="164" fontId="3" fillId="0" borderId="11" xfId="67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3" fontId="3" fillId="0" borderId="0" xfId="67" applyFont="1" applyAlignment="1">
      <alignment/>
    </xf>
    <xf numFmtId="0" fontId="0" fillId="0" borderId="0" xfId="0" applyFill="1" applyAlignment="1">
      <alignment/>
    </xf>
    <xf numFmtId="164" fontId="2" fillId="0" borderId="11" xfId="67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64" fontId="3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4" fontId="3" fillId="0" borderId="11" xfId="6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2" fillId="0" borderId="0" xfId="67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2" fillId="13" borderId="11" xfId="67" applyNumberFormat="1" applyFont="1" applyFill="1" applyBorder="1" applyAlignment="1">
      <alignment horizontal="center"/>
    </xf>
    <xf numFmtId="164" fontId="3" fillId="13" borderId="11" xfId="67" applyNumberFormat="1" applyFont="1" applyFill="1" applyBorder="1" applyAlignment="1">
      <alignment horizontal="center"/>
    </xf>
    <xf numFmtId="164" fontId="3" fillId="13" borderId="11" xfId="0" applyNumberFormat="1" applyFont="1" applyFill="1" applyBorder="1" applyAlignment="1">
      <alignment horizontal="center"/>
    </xf>
    <xf numFmtId="164" fontId="2" fillId="13" borderId="11" xfId="0" applyNumberFormat="1" applyFont="1" applyFill="1" applyBorder="1" applyAlignment="1">
      <alignment horizontal="center"/>
    </xf>
    <xf numFmtId="164" fontId="2" fillId="34" borderId="11" xfId="67" applyNumberFormat="1" applyFont="1" applyFill="1" applyBorder="1" applyAlignment="1">
      <alignment horizontal="center"/>
    </xf>
    <xf numFmtId="164" fontId="3" fillId="34" borderId="11" xfId="67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6" fontId="1" fillId="0" borderId="0" xfId="67" applyNumberFormat="1" applyFont="1" applyFill="1" applyAlignment="1">
      <alignment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49" fontId="5" fillId="0" borderId="11" xfId="58" applyNumberFormat="1" applyFont="1" applyFill="1" applyBorder="1" applyAlignment="1">
      <alignment horizontal="center" vertical="center" wrapText="1"/>
      <protection/>
    </xf>
    <xf numFmtId="164" fontId="5" fillId="0" borderId="12" xfId="58" applyNumberFormat="1" applyFont="1" applyFill="1" applyBorder="1" applyAlignment="1">
      <alignment horizontal="center" vertical="top" wrapText="1"/>
      <protection/>
    </xf>
    <xf numFmtId="49" fontId="6" fillId="0" borderId="11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9" fillId="0" borderId="11" xfId="57" applyFont="1" applyFill="1" applyBorder="1" applyAlignment="1">
      <alignment horizontal="left" vertical="top" wrapText="1"/>
      <protection/>
    </xf>
    <xf numFmtId="49" fontId="1" fillId="0" borderId="11" xfId="0" applyNumberFormat="1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vertical="center" wrapText="1"/>
    </xf>
    <xf numFmtId="0" fontId="20" fillId="0" borderId="11" xfId="57" applyFont="1" applyFill="1" applyBorder="1" applyAlignment="1">
      <alignment horizontal="left" vertical="top" wrapText="1"/>
      <protection/>
    </xf>
    <xf numFmtId="0" fontId="1" fillId="0" borderId="11" xfId="60" applyFont="1" applyFill="1" applyBorder="1" applyAlignment="1">
      <alignment horizontal="left" vertical="top" wrapText="1"/>
      <protection/>
    </xf>
    <xf numFmtId="0" fontId="1" fillId="0" borderId="11" xfId="60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60" applyNumberFormat="1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58" applyNumberFormat="1" applyFont="1" applyFill="1" applyBorder="1" applyAlignment="1">
      <alignment horizontal="left" vertical="center"/>
      <protection/>
    </xf>
    <xf numFmtId="49" fontId="6" fillId="0" borderId="11" xfId="58" applyNumberFormat="1" applyFont="1" applyFill="1" applyBorder="1" applyAlignment="1">
      <alignment horizontal="left" vertical="top"/>
      <protection/>
    </xf>
    <xf numFmtId="164" fontId="1" fillId="0" borderId="0" xfId="0" applyNumberFormat="1" applyFont="1" applyFill="1" applyAlignment="1">
      <alignment horizontal="center" vertical="center"/>
    </xf>
    <xf numFmtId="164" fontId="2" fillId="35" borderId="11" xfId="67" applyNumberFormat="1" applyFont="1" applyFill="1" applyBorder="1" applyAlignment="1">
      <alignment horizontal="center"/>
    </xf>
    <xf numFmtId="164" fontId="3" fillId="35" borderId="11" xfId="67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164" fontId="2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/>
    </xf>
    <xf numFmtId="167" fontId="1" fillId="35" borderId="14" xfId="67" applyNumberFormat="1" applyFont="1" applyFill="1" applyBorder="1" applyAlignment="1">
      <alignment horizontal="center" vertical="center" wrapText="1"/>
    </xf>
    <xf numFmtId="167" fontId="1" fillId="35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65" fontId="21" fillId="0" borderId="11" xfId="59" applyNumberFormat="1" applyFont="1" applyBorder="1" applyAlignment="1">
      <alignment horizontal="center" wrapText="1"/>
      <protection/>
    </xf>
    <xf numFmtId="0" fontId="2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70" fontId="4" fillId="0" borderId="11" xfId="59" applyNumberFormat="1" applyFont="1" applyBorder="1" applyAlignment="1">
      <alignment horizontal="center" wrapText="1"/>
      <protection/>
    </xf>
    <xf numFmtId="0" fontId="8" fillId="0" borderId="11" xfId="0" applyFont="1" applyBorder="1" applyAlignment="1">
      <alignment horizontal="center" vertical="center" wrapText="1"/>
    </xf>
    <xf numFmtId="165" fontId="21" fillId="0" borderId="13" xfId="59" applyNumberFormat="1" applyFont="1" applyBorder="1" applyAlignment="1">
      <alignment horizont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5" xfId="58" applyNumberFormat="1" applyFont="1" applyFill="1" applyBorder="1" applyAlignment="1">
      <alignment horizontal="center" vertical="center" wrapText="1"/>
      <protection/>
    </xf>
    <xf numFmtId="176" fontId="1" fillId="0" borderId="15" xfId="67" applyNumberFormat="1" applyFont="1" applyFill="1" applyBorder="1" applyAlignment="1">
      <alignment horizontal="center" vertical="center"/>
    </xf>
    <xf numFmtId="176" fontId="19" fillId="0" borderId="11" xfId="67" applyNumberFormat="1" applyFont="1" applyFill="1" applyBorder="1" applyAlignment="1">
      <alignment horizontal="center" vertical="center" wrapText="1"/>
    </xf>
    <xf numFmtId="176" fontId="19" fillId="0" borderId="15" xfId="67" applyNumberFormat="1" applyFont="1" applyFill="1" applyBorder="1" applyAlignment="1">
      <alignment horizontal="center" vertical="center" wrapText="1"/>
    </xf>
    <xf numFmtId="176" fontId="1" fillId="0" borderId="11" xfId="67" applyNumberFormat="1" applyFont="1" applyFill="1" applyBorder="1" applyAlignment="1">
      <alignment horizontal="center" vertical="center"/>
    </xf>
    <xf numFmtId="176" fontId="1" fillId="0" borderId="11" xfId="56" applyNumberFormat="1" applyFont="1" applyFill="1" applyBorder="1" applyAlignment="1">
      <alignment horizontal="center" vertical="center" wrapText="1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176" fontId="6" fillId="0" borderId="11" xfId="58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82" fontId="1" fillId="0" borderId="0" xfId="67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182" fontId="5" fillId="0" borderId="11" xfId="67" applyNumberFormat="1" applyFont="1" applyFill="1" applyBorder="1" applyAlignment="1">
      <alignment horizontal="center" wrapText="1"/>
    </xf>
    <xf numFmtId="182" fontId="5" fillId="0" borderId="11" xfId="67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0" fontId="22" fillId="0" borderId="0" xfId="0" applyNumberFormat="1" applyFont="1" applyFill="1" applyBorder="1" applyAlignment="1">
      <alignment horizontal="center" vertical="center"/>
    </xf>
    <xf numFmtId="170" fontId="22" fillId="0" borderId="0" xfId="67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7" fontId="6" fillId="0" borderId="11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167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22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left" vertical="center" wrapText="1"/>
    </xf>
    <xf numFmtId="176" fontId="1" fillId="0" borderId="11" xfId="67" applyNumberFormat="1" applyFont="1" applyFill="1" applyBorder="1" applyAlignment="1">
      <alignment horizontal="center" vertical="center" wrapText="1"/>
    </xf>
    <xf numFmtId="176" fontId="1" fillId="0" borderId="15" xfId="6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70" fontId="16" fillId="0" borderId="11" xfId="0" applyNumberFormat="1" applyFont="1" applyFill="1" applyBorder="1" applyAlignment="1">
      <alignment horizontal="center" vertical="center" wrapText="1"/>
    </xf>
    <xf numFmtId="170" fontId="16" fillId="0" borderId="11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0" fontId="16" fillId="0" borderId="11" xfId="67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 vertical="top" wrapText="1"/>
    </xf>
    <xf numFmtId="171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wrapText="1"/>
    </xf>
    <xf numFmtId="164" fontId="14" fillId="0" borderId="11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horizontal="center" vertical="top" wrapText="1"/>
    </xf>
    <xf numFmtId="165" fontId="16" fillId="0" borderId="11" xfId="67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8" fillId="0" borderId="0" xfId="59" applyFont="1" applyAlignment="1">
      <alignment vertical="center"/>
      <protection/>
    </xf>
    <xf numFmtId="0" fontId="18" fillId="0" borderId="0" xfId="59" applyFont="1">
      <alignment/>
      <protection/>
    </xf>
    <xf numFmtId="0" fontId="18" fillId="0" borderId="0" xfId="59" applyFont="1" applyFill="1">
      <alignment/>
      <protection/>
    </xf>
    <xf numFmtId="0" fontId="18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center" wrapText="1"/>
      <protection/>
    </xf>
    <xf numFmtId="0" fontId="6" fillId="0" borderId="0" xfId="59" applyFont="1" applyFill="1" applyAlignment="1">
      <alignment horizontal="center" wrapText="1"/>
      <protection/>
    </xf>
    <xf numFmtId="182" fontId="5" fillId="0" borderId="11" xfId="69" applyNumberFormat="1" applyFont="1" applyFill="1" applyBorder="1" applyAlignment="1">
      <alignment horizontal="center" vertical="center" wrapText="1"/>
    </xf>
    <xf numFmtId="0" fontId="26" fillId="0" borderId="0" xfId="59" applyFont="1" applyFill="1">
      <alignment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11" xfId="59" applyNumberFormat="1" applyFont="1" applyBorder="1" applyAlignment="1">
      <alignment horizontal="center" vertical="center" wrapText="1"/>
      <protection/>
    </xf>
    <xf numFmtId="167" fontId="14" fillId="0" borderId="11" xfId="67" applyNumberFormat="1" applyFont="1" applyFill="1" applyBorder="1" applyAlignment="1">
      <alignment horizontal="center" vertical="center"/>
    </xf>
    <xf numFmtId="0" fontId="27" fillId="0" borderId="11" xfId="59" applyFont="1" applyBorder="1" applyAlignment="1">
      <alignment horizontal="center" vertical="center"/>
      <protection/>
    </xf>
    <xf numFmtId="0" fontId="27" fillId="0" borderId="11" xfId="59" applyNumberFormat="1" applyFont="1" applyBorder="1" applyAlignment="1">
      <alignment horizontal="center" wrapText="1"/>
      <protection/>
    </xf>
    <xf numFmtId="167" fontId="17" fillId="0" borderId="11" xfId="67" applyNumberFormat="1" applyFont="1" applyFill="1" applyBorder="1" applyAlignment="1">
      <alignment horizontal="right"/>
    </xf>
    <xf numFmtId="167" fontId="27" fillId="0" borderId="11" xfId="67" applyNumberFormat="1" applyFont="1" applyFill="1" applyBorder="1" applyAlignment="1">
      <alignment horizontal="center"/>
    </xf>
    <xf numFmtId="0" fontId="1" fillId="0" borderId="11" xfId="59" applyFont="1" applyBorder="1" applyAlignment="1">
      <alignment horizontal="center" vertical="center"/>
      <protection/>
    </xf>
    <xf numFmtId="0" fontId="28" fillId="0" borderId="11" xfId="59" applyNumberFormat="1" applyFont="1" applyBorder="1" applyAlignment="1">
      <alignment horizontal="center" vertical="center" wrapText="1"/>
      <protection/>
    </xf>
    <xf numFmtId="178" fontId="1" fillId="0" borderId="11" xfId="67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178" fontId="1" fillId="0" borderId="11" xfId="67" applyNumberFormat="1" applyFont="1" applyFill="1" applyBorder="1" applyAlignment="1">
      <alignment/>
    </xf>
    <xf numFmtId="178" fontId="1" fillId="0" borderId="11" xfId="67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top" wrapText="1"/>
    </xf>
    <xf numFmtId="167" fontId="1" fillId="0" borderId="11" xfId="67" applyNumberFormat="1" applyFont="1" applyFill="1" applyBorder="1" applyAlignment="1">
      <alignment/>
    </xf>
    <xf numFmtId="0" fontId="1" fillId="0" borderId="13" xfId="59" applyFont="1" applyBorder="1" applyAlignment="1">
      <alignment horizontal="center" vertical="center"/>
      <protection/>
    </xf>
    <xf numFmtId="0" fontId="69" fillId="0" borderId="14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1" fillId="0" borderId="11" xfId="67" applyNumberFormat="1" applyFont="1" applyFill="1" applyBorder="1" applyAlignment="1">
      <alignment/>
    </xf>
    <xf numFmtId="0" fontId="1" fillId="0" borderId="11" xfId="59" applyFont="1" applyFill="1" applyBorder="1" applyAlignment="1">
      <alignment horizontal="center" vertical="center"/>
      <protection/>
    </xf>
    <xf numFmtId="49" fontId="28" fillId="36" borderId="14" xfId="59" applyNumberFormat="1" applyFont="1" applyFill="1" applyBorder="1" applyAlignment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2" fontId="70" fillId="0" borderId="11" xfId="0" applyNumberFormat="1" applyFont="1" applyFill="1" applyBorder="1" applyAlignment="1">
      <alignment horizontal="justify" vertical="center" wrapText="1"/>
    </xf>
    <xf numFmtId="0" fontId="28" fillId="0" borderId="11" xfId="59" applyNumberFormat="1" applyFont="1" applyBorder="1" applyAlignment="1">
      <alignment horizontal="center" vertical="center" wrapText="1"/>
      <protection/>
    </xf>
    <xf numFmtId="0" fontId="1" fillId="0" borderId="11" xfId="59" applyNumberFormat="1" applyFont="1" applyFill="1" applyBorder="1" applyAlignment="1">
      <alignment horizontal="left" wrapText="1"/>
      <protection/>
    </xf>
    <xf numFmtId="0" fontId="1" fillId="0" borderId="13" xfId="59" applyFont="1" applyFill="1" applyBorder="1" applyAlignment="1">
      <alignment horizontal="center" vertical="center"/>
      <protection/>
    </xf>
    <xf numFmtId="0" fontId="70" fillId="0" borderId="14" xfId="0" applyFont="1" applyFill="1" applyBorder="1" applyAlignment="1">
      <alignment vertical="center" wrapText="1"/>
    </xf>
    <xf numFmtId="0" fontId="1" fillId="36" borderId="11" xfId="59" applyFont="1" applyFill="1" applyBorder="1" applyAlignment="1">
      <alignment horizontal="center" vertical="center"/>
      <protection/>
    </xf>
    <xf numFmtId="0" fontId="27" fillId="0" borderId="11" xfId="59" applyNumberFormat="1" applyFont="1" applyBorder="1" applyAlignment="1">
      <alignment horizontal="center" wrapText="1"/>
      <protection/>
    </xf>
    <xf numFmtId="0" fontId="28" fillId="0" borderId="11" xfId="59" applyNumberFormat="1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wrapText="1"/>
    </xf>
    <xf numFmtId="0" fontId="1" fillId="0" borderId="11" xfId="59" applyNumberFormat="1" applyFont="1" applyFill="1" applyBorder="1" applyAlignment="1">
      <alignment wrapText="1"/>
      <protection/>
    </xf>
    <xf numFmtId="0" fontId="30" fillId="0" borderId="0" xfId="59" applyFont="1" applyFill="1">
      <alignment/>
      <protection/>
    </xf>
    <xf numFmtId="0" fontId="1" fillId="0" borderId="12" xfId="59" applyFont="1" applyBorder="1" applyAlignment="1">
      <alignment horizontal="center" vertical="center"/>
      <protection/>
    </xf>
    <xf numFmtId="0" fontId="28" fillId="0" borderId="12" xfId="59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59" applyNumberFormat="1" applyFont="1" applyBorder="1" applyAlignment="1">
      <alignment horizontal="left" wrapText="1"/>
      <protection/>
    </xf>
    <xf numFmtId="0" fontId="3" fillId="0" borderId="12" xfId="0" applyFont="1" applyFill="1" applyBorder="1" applyAlignment="1">
      <alignment vertical="center" wrapText="1"/>
    </xf>
    <xf numFmtId="0" fontId="27" fillId="0" borderId="14" xfId="59" applyFont="1" applyBorder="1" applyAlignment="1">
      <alignment horizontal="center" vertical="center"/>
      <protection/>
    </xf>
    <xf numFmtId="49" fontId="1" fillId="36" borderId="11" xfId="59" applyNumberFormat="1" applyFont="1" applyFill="1" applyBorder="1" applyAlignment="1">
      <alignment horizontal="left" vertical="center" wrapText="1"/>
      <protection/>
    </xf>
    <xf numFmtId="0" fontId="31" fillId="0" borderId="0" xfId="59" applyFont="1" applyFill="1">
      <alignment/>
      <protection/>
    </xf>
    <xf numFmtId="0" fontId="18" fillId="0" borderId="11" xfId="59" applyFont="1" applyBorder="1" applyAlignment="1">
      <alignment vertical="center"/>
      <protection/>
    </xf>
    <xf numFmtId="178" fontId="6" fillId="0" borderId="12" xfId="67" applyNumberFormat="1" applyFont="1" applyFill="1" applyBorder="1" applyAlignment="1">
      <alignment vertical="center"/>
    </xf>
    <xf numFmtId="178" fontId="6" fillId="0" borderId="11" xfId="59" applyNumberFormat="1" applyFont="1" applyFill="1" applyBorder="1" applyAlignment="1">
      <alignment vertical="center"/>
      <protection/>
    </xf>
    <xf numFmtId="0" fontId="27" fillId="0" borderId="11" xfId="59" applyNumberFormat="1" applyFont="1" applyBorder="1" applyAlignment="1">
      <alignment horizontal="center" vertical="center" wrapText="1"/>
      <protection/>
    </xf>
    <xf numFmtId="178" fontId="27" fillId="0" borderId="11" xfId="59" applyNumberFormat="1" applyFont="1" applyFill="1" applyBorder="1">
      <alignment/>
      <protection/>
    </xf>
    <xf numFmtId="178" fontId="1" fillId="0" borderId="11" xfId="67" applyNumberFormat="1" applyFont="1" applyFill="1" applyBorder="1" applyAlignment="1">
      <alignment horizontal="right"/>
    </xf>
    <xf numFmtId="178" fontId="1" fillId="0" borderId="14" xfId="67" applyNumberFormat="1" applyFont="1" applyFill="1" applyBorder="1" applyAlignment="1">
      <alignment horizontal="right"/>
    </xf>
    <xf numFmtId="2" fontId="1" fillId="0" borderId="11" xfId="67" applyNumberFormat="1" applyFont="1" applyFill="1" applyBorder="1" applyAlignment="1">
      <alignment/>
    </xf>
    <xf numFmtId="4" fontId="27" fillId="0" borderId="11" xfId="67" applyNumberFormat="1" applyFont="1" applyFill="1" applyBorder="1" applyAlignment="1">
      <alignment/>
    </xf>
    <xf numFmtId="0" fontId="28" fillId="0" borderId="11" xfId="59" applyNumberFormat="1" applyFont="1" applyFill="1" applyBorder="1" applyAlignment="1">
      <alignment horizontal="center" vertical="center" wrapText="1"/>
      <protection/>
    </xf>
    <xf numFmtId="178" fontId="1" fillId="0" borderId="11" xfId="59" applyNumberFormat="1" applyFont="1" applyFill="1" applyBorder="1">
      <alignment/>
      <protection/>
    </xf>
    <xf numFmtId="4" fontId="6" fillId="0" borderId="11" xfId="59" applyNumberFormat="1" applyFont="1" applyFill="1" applyBorder="1" applyAlignment="1">
      <alignment vertical="center"/>
      <protection/>
    </xf>
    <xf numFmtId="4" fontId="27" fillId="0" borderId="11" xfId="59" applyNumberFormat="1" applyFont="1" applyFill="1" applyBorder="1">
      <alignment/>
      <protection/>
    </xf>
    <xf numFmtId="4" fontId="1" fillId="0" borderId="11" xfId="59" applyNumberFormat="1" applyFont="1" applyFill="1" applyBorder="1">
      <alignment/>
      <protection/>
    </xf>
    <xf numFmtId="185" fontId="1" fillId="0" borderId="11" xfId="59" applyNumberFormat="1" applyFont="1" applyFill="1" applyBorder="1">
      <alignment/>
      <protection/>
    </xf>
    <xf numFmtId="0" fontId="6" fillId="0" borderId="11" xfId="59" applyFont="1" applyBorder="1" applyAlignment="1">
      <alignment vertical="center"/>
      <protection/>
    </xf>
    <xf numFmtId="167" fontId="14" fillId="0" borderId="11" xfId="67" applyNumberFormat="1" applyFont="1" applyFill="1" applyBorder="1" applyAlignment="1">
      <alignment vertical="center"/>
    </xf>
    <xf numFmtId="0" fontId="18" fillId="0" borderId="0" xfId="59" applyFont="1" applyFill="1" applyAlignment="1">
      <alignment vertical="center"/>
      <protection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12" fillId="36" borderId="11" xfId="0" applyNumberFormat="1" applyFont="1" applyFill="1" applyBorder="1" applyAlignment="1">
      <alignment horizontal="center" vertical="top" wrapText="1"/>
    </xf>
    <xf numFmtId="0" fontId="25" fillId="36" borderId="11" xfId="0" applyFont="1" applyFill="1" applyBorder="1" applyAlignment="1">
      <alignment horizontal="center" vertical="top" wrapText="1"/>
    </xf>
    <xf numFmtId="0" fontId="8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2" fillId="0" borderId="11" xfId="0" applyFont="1" applyBorder="1" applyAlignment="1">
      <alignment horizontal="center" vertical="top"/>
    </xf>
    <xf numFmtId="0" fontId="6" fillId="0" borderId="0" xfId="0" applyFont="1" applyAlignment="1">
      <alignment/>
    </xf>
    <xf numFmtId="164" fontId="14" fillId="0" borderId="11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86" fontId="16" fillId="0" borderId="11" xfId="0" applyNumberFormat="1" applyFont="1" applyFill="1" applyBorder="1" applyAlignment="1">
      <alignment horizontal="center" vertical="center" wrapText="1"/>
    </xf>
    <xf numFmtId="182" fontId="16" fillId="0" borderId="11" xfId="67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67" fontId="1" fillId="0" borderId="11" xfId="67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167" fontId="27" fillId="0" borderId="11" xfId="67" applyNumberFormat="1" applyFont="1" applyFill="1" applyBorder="1" applyAlignment="1">
      <alignment horizontal="center" vertical="center"/>
    </xf>
    <xf numFmtId="167" fontId="27" fillId="0" borderId="11" xfId="67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justify"/>
    </xf>
    <xf numFmtId="0" fontId="17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9" fontId="1" fillId="0" borderId="11" xfId="59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wrapText="1"/>
    </xf>
    <xf numFmtId="167" fontId="6" fillId="0" borderId="11" xfId="67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2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wrapText="1"/>
    </xf>
    <xf numFmtId="167" fontId="1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justify" wrapText="1"/>
    </xf>
    <xf numFmtId="49" fontId="1" fillId="0" borderId="11" xfId="0" applyNumberFormat="1" applyFont="1" applyBorder="1" applyAlignment="1">
      <alignment horizontal="center" vertical="justify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3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170" fontId="3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left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170" fontId="8" fillId="0" borderId="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184" fontId="11" fillId="0" borderId="11" xfId="67" applyNumberFormat="1" applyFont="1" applyFill="1" applyBorder="1" applyAlignment="1">
      <alignment horizontal="center" vertical="center" wrapText="1"/>
    </xf>
    <xf numFmtId="184" fontId="11" fillId="35" borderId="11" xfId="67" applyNumberFormat="1" applyFont="1" applyFill="1" applyBorder="1" applyAlignment="1">
      <alignment horizontal="center" vertical="center" wrapText="1"/>
    </xf>
    <xf numFmtId="184" fontId="11" fillId="13" borderId="11" xfId="67" applyNumberFormat="1" applyFont="1" applyFill="1" applyBorder="1" applyAlignment="1">
      <alignment horizontal="center" vertical="center" wrapText="1"/>
    </xf>
    <xf numFmtId="184" fontId="11" fillId="34" borderId="11" xfId="67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5" fillId="0" borderId="11" xfId="67" applyFont="1" applyFill="1" applyBorder="1" applyAlignment="1">
      <alignment horizontal="center" vertical="center" wrapText="1"/>
    </xf>
    <xf numFmtId="0" fontId="27" fillId="0" borderId="11" xfId="59" applyNumberFormat="1" applyFont="1" applyFill="1" applyBorder="1" applyAlignment="1">
      <alignment horizontal="center" wrapText="1"/>
      <protection/>
    </xf>
    <xf numFmtId="177" fontId="1" fillId="0" borderId="11" xfId="67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4" fontId="2" fillId="0" borderId="11" xfId="67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88" fontId="6" fillId="0" borderId="11" xfId="67" applyNumberFormat="1" applyFont="1" applyFill="1" applyBorder="1" applyAlignment="1">
      <alignment horizontal="center" vertical="center" wrapText="1"/>
    </xf>
    <xf numFmtId="188" fontId="1" fillId="0" borderId="11" xfId="67" applyNumberFormat="1" applyFont="1" applyFill="1" applyBorder="1" applyAlignment="1">
      <alignment horizontal="center" vertical="center" wrapText="1"/>
    </xf>
    <xf numFmtId="167" fontId="2" fillId="35" borderId="11" xfId="0" applyNumberFormat="1" applyFont="1" applyFill="1" applyBorder="1" applyAlignment="1">
      <alignment/>
    </xf>
    <xf numFmtId="167" fontId="2" fillId="13" borderId="11" xfId="0" applyNumberFormat="1" applyFont="1" applyFill="1" applyBorder="1" applyAlignment="1">
      <alignment/>
    </xf>
    <xf numFmtId="167" fontId="2" fillId="34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/>
    </xf>
    <xf numFmtId="49" fontId="6" fillId="0" borderId="11" xfId="58" applyNumberFormat="1" applyFont="1" applyFill="1" applyBorder="1" applyAlignment="1">
      <alignment horizontal="left" vertical="center" wrapText="1"/>
      <protection/>
    </xf>
    <xf numFmtId="49" fontId="1" fillId="0" borderId="11" xfId="58" applyNumberFormat="1" applyFont="1" applyFill="1" applyBorder="1" applyAlignment="1">
      <alignment horizontal="left" vertical="center" wrapText="1"/>
      <protection/>
    </xf>
    <xf numFmtId="164" fontId="1" fillId="0" borderId="11" xfId="58" applyNumberFormat="1" applyFont="1" applyFill="1" applyBorder="1" applyAlignment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" fillId="0" borderId="11" xfId="67" applyNumberFormat="1" applyFont="1" applyFill="1" applyBorder="1" applyAlignment="1">
      <alignment horizontal="center" vertical="center"/>
    </xf>
    <xf numFmtId="4" fontId="14" fillId="0" borderId="11" xfId="58" applyNumberFormat="1" applyFont="1" applyFill="1" applyBorder="1" applyAlignment="1">
      <alignment horizontal="center" vertical="center"/>
      <protection/>
    </xf>
    <xf numFmtId="176" fontId="0" fillId="0" borderId="0" xfId="0" applyNumberFormat="1" applyFill="1" applyBorder="1" applyAlignment="1">
      <alignment/>
    </xf>
    <xf numFmtId="0" fontId="5" fillId="37" borderId="11" xfId="0" applyFont="1" applyFill="1" applyBorder="1" applyAlignment="1">
      <alignment horizontal="center" vertical="center" wrapText="1"/>
    </xf>
    <xf numFmtId="184" fontId="11" fillId="37" borderId="11" xfId="67" applyNumberFormat="1" applyFont="1" applyFill="1" applyBorder="1" applyAlignment="1">
      <alignment horizontal="center" vertical="center" wrapText="1"/>
    </xf>
    <xf numFmtId="164" fontId="2" fillId="37" borderId="11" xfId="67" applyNumberFormat="1" applyFont="1" applyFill="1" applyBorder="1" applyAlignment="1">
      <alignment horizontal="center"/>
    </xf>
    <xf numFmtId="164" fontId="3" fillId="37" borderId="11" xfId="67" applyNumberFormat="1" applyFont="1" applyFill="1" applyBorder="1" applyAlignment="1">
      <alignment horizontal="center"/>
    </xf>
    <xf numFmtId="164" fontId="3" fillId="37" borderId="11" xfId="0" applyNumberFormat="1" applyFont="1" applyFill="1" applyBorder="1" applyAlignment="1">
      <alignment horizontal="center"/>
    </xf>
    <xf numFmtId="164" fontId="2" fillId="37" borderId="11" xfId="0" applyNumberFormat="1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 vertical="center"/>
    </xf>
    <xf numFmtId="167" fontId="1" fillId="37" borderId="14" xfId="67" applyNumberFormat="1" applyFont="1" applyFill="1" applyBorder="1" applyAlignment="1">
      <alignment horizontal="center" vertical="center" wrapText="1"/>
    </xf>
    <xf numFmtId="167" fontId="1" fillId="37" borderId="14" xfId="0" applyNumberFormat="1" applyFont="1" applyFill="1" applyBorder="1" applyAlignment="1">
      <alignment horizontal="center" vertical="center"/>
    </xf>
    <xf numFmtId="167" fontId="2" fillId="37" borderId="11" xfId="0" applyNumberFormat="1" applyFont="1" applyFill="1" applyBorder="1" applyAlignment="1">
      <alignment/>
    </xf>
    <xf numFmtId="0" fontId="5" fillId="38" borderId="11" xfId="0" applyFont="1" applyFill="1" applyBorder="1" applyAlignment="1">
      <alignment horizontal="center" vertical="center" wrapText="1"/>
    </xf>
    <xf numFmtId="184" fontId="11" fillId="38" borderId="11" xfId="67" applyNumberFormat="1" applyFont="1" applyFill="1" applyBorder="1" applyAlignment="1">
      <alignment horizontal="center" vertical="center" wrapText="1"/>
    </xf>
    <xf numFmtId="164" fontId="2" fillId="38" borderId="11" xfId="67" applyNumberFormat="1" applyFont="1" applyFill="1" applyBorder="1" applyAlignment="1">
      <alignment horizontal="center"/>
    </xf>
    <xf numFmtId="164" fontId="3" fillId="38" borderId="11" xfId="67" applyNumberFormat="1" applyFont="1" applyFill="1" applyBorder="1" applyAlignment="1">
      <alignment horizontal="center"/>
    </xf>
    <xf numFmtId="164" fontId="3" fillId="38" borderId="11" xfId="0" applyNumberFormat="1" applyFont="1" applyFill="1" applyBorder="1" applyAlignment="1">
      <alignment horizontal="center"/>
    </xf>
    <xf numFmtId="164" fontId="2" fillId="38" borderId="11" xfId="0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 vertical="center"/>
    </xf>
    <xf numFmtId="167" fontId="1" fillId="38" borderId="14" xfId="67" applyNumberFormat="1" applyFont="1" applyFill="1" applyBorder="1" applyAlignment="1">
      <alignment horizontal="center" vertical="center" wrapText="1"/>
    </xf>
    <xf numFmtId="167" fontId="1" fillId="38" borderId="14" xfId="0" applyNumberFormat="1" applyFont="1" applyFill="1" applyBorder="1" applyAlignment="1">
      <alignment horizontal="center" vertical="center"/>
    </xf>
    <xf numFmtId="167" fontId="2" fillId="38" borderId="11" xfId="0" applyNumberFormat="1" applyFont="1" applyFill="1" applyBorder="1" applyAlignment="1">
      <alignment/>
    </xf>
    <xf numFmtId="0" fontId="5" fillId="9" borderId="1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164" fontId="2" fillId="9" borderId="11" xfId="67" applyNumberFormat="1" applyFont="1" applyFill="1" applyBorder="1" applyAlignment="1">
      <alignment horizontal="center"/>
    </xf>
    <xf numFmtId="164" fontId="3" fillId="9" borderId="11" xfId="67" applyNumberFormat="1" applyFont="1" applyFill="1" applyBorder="1" applyAlignment="1">
      <alignment horizontal="center"/>
    </xf>
    <xf numFmtId="167" fontId="1" fillId="9" borderId="14" xfId="67" applyNumberFormat="1" applyFont="1" applyFill="1" applyBorder="1" applyAlignment="1">
      <alignment horizontal="center" vertical="center" wrapText="1"/>
    </xf>
    <xf numFmtId="167" fontId="1" fillId="9" borderId="17" xfId="0" applyNumberFormat="1" applyFont="1" applyFill="1" applyBorder="1" applyAlignment="1">
      <alignment horizontal="center" vertical="center"/>
    </xf>
    <xf numFmtId="164" fontId="3" fillId="9" borderId="11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167" fontId="2" fillId="9" borderId="11" xfId="0" applyNumberFormat="1" applyFont="1" applyFill="1" applyBorder="1" applyAlignment="1">
      <alignment/>
    </xf>
    <xf numFmtId="184" fontId="11" fillId="9" borderId="11" xfId="67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184" fontId="11" fillId="25" borderId="11" xfId="67" applyNumberFormat="1" applyFont="1" applyFill="1" applyBorder="1" applyAlignment="1">
      <alignment horizontal="center" vertical="center" wrapText="1"/>
    </xf>
    <xf numFmtId="164" fontId="2" fillId="25" borderId="11" xfId="67" applyNumberFormat="1" applyFont="1" applyFill="1" applyBorder="1" applyAlignment="1">
      <alignment horizontal="center"/>
    </xf>
    <xf numFmtId="164" fontId="3" fillId="25" borderId="11" xfId="67" applyNumberFormat="1" applyFont="1" applyFill="1" applyBorder="1" applyAlignment="1">
      <alignment horizontal="center"/>
    </xf>
    <xf numFmtId="164" fontId="3" fillId="25" borderId="11" xfId="0" applyNumberFormat="1" applyFont="1" applyFill="1" applyBorder="1" applyAlignment="1">
      <alignment horizontal="center"/>
    </xf>
    <xf numFmtId="164" fontId="2" fillId="25" borderId="11" xfId="0" applyNumberFormat="1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 vertical="center"/>
    </xf>
    <xf numFmtId="167" fontId="1" fillId="25" borderId="14" xfId="67" applyNumberFormat="1" applyFont="1" applyFill="1" applyBorder="1" applyAlignment="1">
      <alignment horizontal="center" vertical="center" wrapText="1"/>
    </xf>
    <xf numFmtId="167" fontId="1" fillId="25" borderId="11" xfId="0" applyNumberFormat="1" applyFont="1" applyFill="1" applyBorder="1" applyAlignment="1">
      <alignment horizontal="center" vertical="center"/>
    </xf>
    <xf numFmtId="167" fontId="2" fillId="25" borderId="11" xfId="0" applyNumberFormat="1" applyFont="1" applyFill="1" applyBorder="1" applyAlignment="1">
      <alignment/>
    </xf>
    <xf numFmtId="0" fontId="5" fillId="39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/>
    </xf>
    <xf numFmtId="164" fontId="2" fillId="39" borderId="11" xfId="67" applyNumberFormat="1" applyFont="1" applyFill="1" applyBorder="1" applyAlignment="1">
      <alignment horizontal="center"/>
    </xf>
    <xf numFmtId="164" fontId="3" fillId="39" borderId="11" xfId="67" applyNumberFormat="1" applyFont="1" applyFill="1" applyBorder="1" applyAlignment="1">
      <alignment horizontal="center"/>
    </xf>
    <xf numFmtId="167" fontId="1" fillId="39" borderId="14" xfId="67" applyNumberFormat="1" applyFont="1" applyFill="1" applyBorder="1" applyAlignment="1">
      <alignment horizontal="center" vertical="center" wrapText="1"/>
    </xf>
    <xf numFmtId="167" fontId="1" fillId="39" borderId="11" xfId="0" applyNumberFormat="1" applyFont="1" applyFill="1" applyBorder="1" applyAlignment="1">
      <alignment horizontal="center" vertical="center"/>
    </xf>
    <xf numFmtId="164" fontId="3" fillId="39" borderId="11" xfId="0" applyNumberFormat="1" applyFont="1" applyFill="1" applyBorder="1" applyAlignment="1">
      <alignment horizontal="center"/>
    </xf>
    <xf numFmtId="164" fontId="2" fillId="39" borderId="11" xfId="0" applyNumberFormat="1" applyFont="1" applyFill="1" applyBorder="1" applyAlignment="1">
      <alignment horizontal="center"/>
    </xf>
    <xf numFmtId="167" fontId="2" fillId="39" borderId="11" xfId="0" applyNumberFormat="1" applyFont="1" applyFill="1" applyBorder="1" applyAlignment="1">
      <alignment horizontal="center"/>
    </xf>
    <xf numFmtId="184" fontId="11" fillId="39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justify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70" fontId="1" fillId="0" borderId="11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70" fontId="14" fillId="0" borderId="11" xfId="0" applyNumberFormat="1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80" fontId="1" fillId="0" borderId="11" xfId="0" applyNumberFormat="1" applyFont="1" applyFill="1" applyBorder="1" applyAlignment="1">
      <alignment horizontal="center"/>
    </xf>
    <xf numFmtId="180" fontId="1" fillId="0" borderId="11" xfId="67" applyNumberFormat="1" applyFont="1" applyFill="1" applyBorder="1" applyAlignment="1">
      <alignment horizontal="center"/>
    </xf>
    <xf numFmtId="180" fontId="14" fillId="0" borderId="11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justify" vertical="top"/>
      <protection/>
    </xf>
    <xf numFmtId="0" fontId="1" fillId="0" borderId="11" xfId="0" applyNumberFormat="1" applyFont="1" applyFill="1" applyBorder="1" applyAlignment="1" applyProtection="1">
      <alignment horizontal="left" vertical="top" inden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2" fontId="1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left" vertical="top" inden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4" fontId="8" fillId="0" borderId="11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67" applyNumberFormat="1" applyFont="1" applyFill="1" applyBorder="1" applyAlignment="1">
      <alignment/>
    </xf>
    <xf numFmtId="167" fontId="1" fillId="0" borderId="11" xfId="67" applyNumberFormat="1" applyFont="1" applyFill="1" applyBorder="1" applyAlignment="1">
      <alignment horizontal="center" vertical="center"/>
    </xf>
    <xf numFmtId="167" fontId="27" fillId="0" borderId="11" xfId="67" applyNumberFormat="1" applyFont="1" applyFill="1" applyBorder="1" applyAlignment="1">
      <alignment horizontal="right" vertical="center"/>
    </xf>
    <xf numFmtId="167" fontId="1" fillId="0" borderId="11" xfId="67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0" borderId="11" xfId="6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167" fontId="8" fillId="0" borderId="11" xfId="0" applyNumberFormat="1" applyFont="1" applyFill="1" applyBorder="1" applyAlignment="1">
      <alignment horizontal="center" vertical="center"/>
    </xf>
    <xf numFmtId="167" fontId="8" fillId="0" borderId="11" xfId="67" applyNumberFormat="1" applyFont="1" applyFill="1" applyBorder="1" applyAlignment="1">
      <alignment horizontal="center" vertical="center"/>
    </xf>
    <xf numFmtId="167" fontId="14" fillId="0" borderId="11" xfId="0" applyNumberFormat="1" applyFont="1" applyFill="1" applyBorder="1" applyAlignment="1">
      <alignment horizontal="center" vertical="center"/>
    </xf>
    <xf numFmtId="167" fontId="14" fillId="0" borderId="11" xfId="67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177" fontId="1" fillId="0" borderId="11" xfId="67" applyNumberFormat="1" applyFont="1" applyFill="1" applyBorder="1" applyAlignment="1">
      <alignment horizontal="right"/>
    </xf>
    <xf numFmtId="177" fontId="1" fillId="0" borderId="11" xfId="67" applyNumberFormat="1" applyFont="1" applyFill="1" applyBorder="1" applyAlignment="1">
      <alignment horizontal="center"/>
    </xf>
    <xf numFmtId="177" fontId="1" fillId="0" borderId="11" xfId="67" applyNumberFormat="1" applyFont="1" applyFill="1" applyBorder="1" applyAlignment="1">
      <alignment horizontal="right"/>
    </xf>
    <xf numFmtId="177" fontId="1" fillId="0" borderId="14" xfId="67" applyNumberFormat="1" applyFont="1" applyFill="1" applyBorder="1" applyAlignment="1">
      <alignment/>
    </xf>
    <xf numFmtId="177" fontId="1" fillId="0" borderId="11" xfId="67" applyNumberFormat="1" applyFont="1" applyFill="1" applyBorder="1" applyAlignment="1">
      <alignment horizontal="center"/>
    </xf>
    <xf numFmtId="166" fontId="27" fillId="0" borderId="11" xfId="67" applyNumberFormat="1" applyFont="1" applyFill="1" applyBorder="1" applyAlignment="1">
      <alignment/>
    </xf>
    <xf numFmtId="177" fontId="1" fillId="0" borderId="12" xfId="67" applyNumberFormat="1" applyFont="1" applyFill="1" applyBorder="1" applyAlignment="1">
      <alignment/>
    </xf>
    <xf numFmtId="177" fontId="1" fillId="0" borderId="12" xfId="67" applyNumberFormat="1" applyFont="1" applyFill="1" applyBorder="1" applyAlignment="1">
      <alignment/>
    </xf>
    <xf numFmtId="49" fontId="1" fillId="0" borderId="11" xfId="59" applyNumberFormat="1" applyFont="1" applyFill="1" applyBorder="1" applyAlignment="1">
      <alignment horizontal="left" vertical="top" wrapText="1"/>
      <protection/>
    </xf>
    <xf numFmtId="167" fontId="27" fillId="0" borderId="11" xfId="67" applyNumberFormat="1" applyFont="1" applyFill="1" applyBorder="1" applyAlignment="1">
      <alignment vertical="center"/>
    </xf>
    <xf numFmtId="167" fontId="1" fillId="0" borderId="11" xfId="67" applyNumberFormat="1" applyFont="1" applyFill="1" applyBorder="1" applyAlignment="1">
      <alignment vertical="center"/>
    </xf>
    <xf numFmtId="167" fontId="1" fillId="0" borderId="11" xfId="67" applyNumberFormat="1" applyFont="1" applyFill="1" applyBorder="1" applyAlignment="1">
      <alignment/>
    </xf>
    <xf numFmtId="167" fontId="27" fillId="0" borderId="11" xfId="67" applyNumberFormat="1" applyFont="1" applyFill="1" applyBorder="1" applyAlignment="1">
      <alignment/>
    </xf>
    <xf numFmtId="167" fontId="1" fillId="0" borderId="11" xfId="67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2" fillId="36" borderId="13" xfId="0" applyFont="1" applyFill="1" applyBorder="1" applyAlignment="1">
      <alignment horizontal="center" vertical="top" wrapText="1"/>
    </xf>
    <xf numFmtId="0" fontId="12" fillId="36" borderId="18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justify" wrapText="1"/>
    </xf>
    <xf numFmtId="0" fontId="22" fillId="0" borderId="18" xfId="0" applyFont="1" applyBorder="1" applyAlignment="1">
      <alignment horizontal="center" vertical="justify" wrapText="1"/>
    </xf>
    <xf numFmtId="0" fontId="22" fillId="0" borderId="15" xfId="0" applyFont="1" applyBorder="1" applyAlignment="1">
      <alignment horizontal="center" vertical="justify" wrapText="1"/>
    </xf>
    <xf numFmtId="166" fontId="1" fillId="0" borderId="0" xfId="67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82" fontId="34" fillId="0" borderId="13" xfId="67" applyNumberFormat="1" applyFont="1" applyFill="1" applyBorder="1" applyAlignment="1">
      <alignment horizontal="center" vertical="center"/>
    </xf>
    <xf numFmtId="182" fontId="34" fillId="0" borderId="15" xfId="67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6" fontId="1" fillId="0" borderId="0" xfId="67" applyNumberFormat="1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6" fontId="1" fillId="0" borderId="0" xfId="67" applyNumberFormat="1" applyFont="1" applyFill="1" applyAlignment="1">
      <alignment horizontal="left"/>
    </xf>
    <xf numFmtId="182" fontId="1" fillId="0" borderId="11" xfId="69" applyNumberFormat="1" applyFont="1" applyFill="1" applyBorder="1" applyAlignment="1">
      <alignment horizontal="center"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8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4" fillId="0" borderId="0" xfId="59" applyFont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14" xfId="59" applyFont="1" applyBorder="1" applyAlignment="1">
      <alignment horizontal="center" vertical="center" wrapText="1"/>
      <protection/>
    </xf>
    <xf numFmtId="182" fontId="16" fillId="0" borderId="11" xfId="69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70" fontId="33" fillId="0" borderId="11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9" xfId="55"/>
    <cellStyle name="Обычный_35-КЗ(прил.1-48)" xfId="56"/>
    <cellStyle name="Обычный_Брг_03_3" xfId="57"/>
    <cellStyle name="Обычный_Лист1" xfId="58"/>
    <cellStyle name="Обычный_Поправки май 2008г." xfId="59"/>
    <cellStyle name="Обычный_Прил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Поправки май 2008г.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8;&#1080;&#1076;&#1072;&#1077;&#1084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 2013"/>
      <sheetName val="Лист2"/>
      <sheetName val="Лист3"/>
    </sheetNames>
    <sheetDataSet>
      <sheetData sheetId="0">
        <row r="27">
          <cell r="F27">
            <v>5.4</v>
          </cell>
        </row>
        <row r="74">
          <cell r="F7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58.28125" style="316" customWidth="1"/>
    <col min="2" max="2" width="12.7109375" style="317" customWidth="1"/>
    <col min="3" max="3" width="12.8515625" style="317" customWidth="1"/>
    <col min="4" max="16384" width="9.140625" style="317" customWidth="1"/>
  </cols>
  <sheetData>
    <row r="1" spans="2:3" ht="15">
      <c r="B1" s="568" t="s">
        <v>913</v>
      </c>
      <c r="C1" s="568"/>
    </row>
    <row r="2" spans="2:3" ht="15">
      <c r="B2" s="568" t="s">
        <v>695</v>
      </c>
      <c r="C2" s="568"/>
    </row>
    <row r="3" spans="1:3" ht="15.75">
      <c r="A3" s="318"/>
      <c r="B3" s="568" t="s">
        <v>1202</v>
      </c>
      <c r="C3" s="568"/>
    </row>
    <row r="5" spans="1:3" ht="12.75" customHeight="1">
      <c r="A5" s="569" t="s">
        <v>914</v>
      </c>
      <c r="B5" s="569"/>
      <c r="C5" s="569"/>
    </row>
    <row r="6" spans="1:3" ht="34.5" customHeight="1">
      <c r="A6" s="569"/>
      <c r="B6" s="569"/>
      <c r="C6" s="569"/>
    </row>
    <row r="7" spans="1:3" ht="8.25" customHeight="1">
      <c r="A7" s="320"/>
      <c r="B7" s="319"/>
      <c r="C7" s="319"/>
    </row>
    <row r="8" spans="1:3" ht="15.75">
      <c r="A8" s="321"/>
      <c r="C8" s="322" t="s">
        <v>915</v>
      </c>
    </row>
    <row r="9" spans="1:3" ht="12.75" customHeight="1">
      <c r="A9" s="570" t="s">
        <v>916</v>
      </c>
      <c r="B9" s="572" t="s">
        <v>700</v>
      </c>
      <c r="C9" s="573" t="s">
        <v>917</v>
      </c>
    </row>
    <row r="10" spans="1:3" ht="25.5" customHeight="1">
      <c r="A10" s="571"/>
      <c r="B10" s="572"/>
      <c r="C10" s="573"/>
    </row>
    <row r="11" spans="1:3" s="372" customFormat="1" ht="11.25">
      <c r="A11" s="371">
        <v>1</v>
      </c>
      <c r="B11" s="371">
        <v>2</v>
      </c>
      <c r="C11" s="371">
        <v>3</v>
      </c>
    </row>
    <row r="12" spans="1:3" ht="48.75" customHeight="1">
      <c r="A12" s="323" t="s">
        <v>918</v>
      </c>
      <c r="B12" s="324"/>
      <c r="C12" s="325"/>
    </row>
    <row r="13" spans="1:3" ht="31.5">
      <c r="A13" s="326" t="s">
        <v>919</v>
      </c>
      <c r="B13" s="327">
        <v>100</v>
      </c>
      <c r="C13" s="328"/>
    </row>
    <row r="14" spans="1:3" ht="71.25" customHeight="1">
      <c r="A14" s="326" t="s">
        <v>920</v>
      </c>
      <c r="B14" s="327">
        <v>100</v>
      </c>
      <c r="C14" s="328"/>
    </row>
    <row r="15" spans="1:3" ht="34.5" customHeight="1">
      <c r="A15" s="326" t="s">
        <v>921</v>
      </c>
      <c r="B15" s="327">
        <v>100</v>
      </c>
      <c r="C15" s="328"/>
    </row>
    <row r="16" spans="1:3" ht="38.25" customHeight="1">
      <c r="A16" s="326" t="s">
        <v>922</v>
      </c>
      <c r="B16" s="327">
        <v>100</v>
      </c>
      <c r="C16" s="328"/>
    </row>
    <row r="17" spans="1:3" ht="38.25" customHeight="1">
      <c r="A17" s="326" t="s">
        <v>923</v>
      </c>
      <c r="B17" s="327">
        <v>100</v>
      </c>
      <c r="C17" s="328"/>
    </row>
    <row r="18" spans="1:3" ht="63" customHeight="1">
      <c r="A18" s="326" t="s">
        <v>924</v>
      </c>
      <c r="B18" s="327">
        <v>100</v>
      </c>
      <c r="C18" s="328"/>
    </row>
    <row r="19" spans="1:3" ht="78.75">
      <c r="A19" s="326" t="s">
        <v>925</v>
      </c>
      <c r="B19" s="327">
        <v>100</v>
      </c>
      <c r="C19" s="328"/>
    </row>
    <row r="20" spans="1:3" ht="19.5" customHeight="1">
      <c r="A20" s="326" t="s">
        <v>926</v>
      </c>
      <c r="B20" s="327"/>
      <c r="C20" s="328"/>
    </row>
    <row r="21" spans="1:3" ht="33" customHeight="1">
      <c r="A21" s="326" t="s">
        <v>927</v>
      </c>
      <c r="B21" s="327">
        <v>100</v>
      </c>
      <c r="C21" s="328"/>
    </row>
    <row r="22" spans="1:3" ht="31.5" customHeight="1">
      <c r="A22" s="326" t="s">
        <v>928</v>
      </c>
      <c r="B22" s="327">
        <v>100</v>
      </c>
      <c r="C22" s="328"/>
    </row>
    <row r="23" ht="15.75">
      <c r="A23" s="318"/>
    </row>
  </sheetData>
  <sheetProtection/>
  <mergeCells count="7">
    <mergeCell ref="B1:C1"/>
    <mergeCell ref="B2:C2"/>
    <mergeCell ref="B3:C3"/>
    <mergeCell ref="A5:C6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G60"/>
  <sheetViews>
    <sheetView zoomScalePageLayoutView="0" workbookViewId="0" topLeftCell="A32">
      <selection activeCell="E52" sqref="E52"/>
    </sheetView>
  </sheetViews>
  <sheetFormatPr defaultColWidth="9.140625" defaultRowHeight="15"/>
  <cols>
    <col min="1" max="1" width="5.28125" style="62" customWidth="1"/>
    <col min="2" max="2" width="7.7109375" style="62" customWidth="1"/>
    <col min="3" max="3" width="9.28125" style="62" customWidth="1"/>
    <col min="4" max="4" width="5.28125" style="62" customWidth="1"/>
    <col min="5" max="5" width="55.57421875" style="62" customWidth="1"/>
    <col min="6" max="6" width="12.7109375" style="64" customWidth="1"/>
    <col min="7" max="7" width="11.421875" style="3" customWidth="1"/>
    <col min="8" max="8" width="9.140625" style="3" customWidth="1"/>
    <col min="9" max="16384" width="9.140625" style="62" customWidth="1"/>
  </cols>
  <sheetData>
    <row r="1" spans="1:215" s="11" customFormat="1" ht="12.75">
      <c r="A1" s="595" t="s">
        <v>198</v>
      </c>
      <c r="B1" s="595"/>
      <c r="C1" s="595" t="s">
        <v>198</v>
      </c>
      <c r="D1" s="595"/>
      <c r="E1" s="575" t="s">
        <v>1187</v>
      </c>
      <c r="F1" s="57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</row>
    <row r="2" spans="1:215" s="11" customFormat="1" ht="12.75">
      <c r="A2" s="594" t="s">
        <v>199</v>
      </c>
      <c r="B2" s="594"/>
      <c r="C2" s="594" t="s">
        <v>199</v>
      </c>
      <c r="D2" s="594"/>
      <c r="E2" s="575" t="s">
        <v>199</v>
      </c>
      <c r="F2" s="57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</row>
    <row r="3" spans="1:215" s="11" customFormat="1" ht="12.75">
      <c r="A3" s="611" t="s">
        <v>200</v>
      </c>
      <c r="B3" s="611"/>
      <c r="C3" s="611" t="s">
        <v>200</v>
      </c>
      <c r="D3" s="611"/>
      <c r="E3" s="608" t="s">
        <v>1208</v>
      </c>
      <c r="F3" s="60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</row>
    <row r="4" spans="1:215" s="29" customFormat="1" ht="15.75">
      <c r="A4" s="605" t="s">
        <v>1031</v>
      </c>
      <c r="B4" s="605"/>
      <c r="C4" s="605"/>
      <c r="D4" s="605"/>
      <c r="E4" s="605"/>
      <c r="F4" s="605"/>
      <c r="G4" s="605"/>
      <c r="H4" s="12"/>
      <c r="I4" s="12"/>
      <c r="J4" s="1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</row>
    <row r="5" spans="1:215" s="29" customFormat="1" ht="12.75">
      <c r="A5" s="26"/>
      <c r="B5" s="26"/>
      <c r="C5" s="26"/>
      <c r="D5" s="26"/>
      <c r="E5" s="27"/>
      <c r="F5" s="60"/>
      <c r="G5" s="12"/>
      <c r="H5" s="12"/>
      <c r="I5" s="12"/>
      <c r="J5" s="1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</row>
    <row r="6" spans="1:215" s="100" customFormat="1" ht="33.75">
      <c r="A6" s="7" t="s">
        <v>202</v>
      </c>
      <c r="B6" s="7" t="s">
        <v>203</v>
      </c>
      <c r="C6" s="97" t="s">
        <v>328</v>
      </c>
      <c r="D6" s="7" t="s">
        <v>327</v>
      </c>
      <c r="E6" s="7" t="s">
        <v>21</v>
      </c>
      <c r="F6" s="414" t="s">
        <v>1032</v>
      </c>
      <c r="G6" s="414" t="s">
        <v>1033</v>
      </c>
      <c r="H6" s="98"/>
      <c r="I6" s="99" t="s">
        <v>206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</row>
    <row r="7" spans="1:215" s="413" customFormat="1" ht="8.25">
      <c r="A7" s="32" t="s">
        <v>23</v>
      </c>
      <c r="B7" s="32" t="s">
        <v>24</v>
      </c>
      <c r="C7" s="405" t="s">
        <v>25</v>
      </c>
      <c r="D7" s="32" t="s">
        <v>207</v>
      </c>
      <c r="E7" s="406" t="s">
        <v>208</v>
      </c>
      <c r="F7" s="407">
        <v>6</v>
      </c>
      <c r="G7" s="407">
        <v>7</v>
      </c>
      <c r="H7" s="411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  <c r="DE7" s="412"/>
      <c r="DF7" s="412"/>
      <c r="DG7" s="412"/>
      <c r="DH7" s="412"/>
      <c r="DI7" s="412"/>
      <c r="DJ7" s="412"/>
      <c r="DK7" s="412"/>
      <c r="DL7" s="412"/>
      <c r="DM7" s="412"/>
      <c r="DN7" s="412"/>
      <c r="DO7" s="412"/>
      <c r="DP7" s="412"/>
      <c r="DQ7" s="412"/>
      <c r="DR7" s="412"/>
      <c r="DS7" s="412"/>
      <c r="DT7" s="412"/>
      <c r="DU7" s="412"/>
      <c r="DV7" s="412"/>
      <c r="DW7" s="412"/>
      <c r="DX7" s="412"/>
      <c r="DY7" s="412"/>
      <c r="DZ7" s="412"/>
      <c r="EA7" s="412"/>
      <c r="EB7" s="412"/>
      <c r="EC7" s="412"/>
      <c r="ED7" s="412"/>
      <c r="EE7" s="412"/>
      <c r="EF7" s="412"/>
      <c r="EG7" s="412"/>
      <c r="EH7" s="412"/>
      <c r="EI7" s="412"/>
      <c r="EJ7" s="412"/>
      <c r="EK7" s="412"/>
      <c r="EL7" s="412"/>
      <c r="EM7" s="412"/>
      <c r="EN7" s="412"/>
      <c r="EO7" s="412"/>
      <c r="EP7" s="412"/>
      <c r="EQ7" s="412"/>
      <c r="ER7" s="412"/>
      <c r="ES7" s="412"/>
      <c r="ET7" s="412"/>
      <c r="EU7" s="412"/>
      <c r="EV7" s="412"/>
      <c r="EW7" s="412"/>
      <c r="EX7" s="412"/>
      <c r="EY7" s="412"/>
      <c r="EZ7" s="412"/>
      <c r="FA7" s="412"/>
      <c r="FB7" s="412"/>
      <c r="FC7" s="412"/>
      <c r="FD7" s="412"/>
      <c r="FE7" s="412"/>
      <c r="FF7" s="412"/>
      <c r="FG7" s="412"/>
      <c r="FH7" s="412"/>
      <c r="FI7" s="412"/>
      <c r="FJ7" s="412"/>
      <c r="FK7" s="412"/>
      <c r="FL7" s="412"/>
      <c r="FM7" s="412"/>
      <c r="FN7" s="412"/>
      <c r="FO7" s="412"/>
      <c r="FP7" s="412"/>
      <c r="FQ7" s="412"/>
      <c r="FR7" s="412"/>
      <c r="FS7" s="412"/>
      <c r="FT7" s="412"/>
      <c r="FU7" s="412"/>
      <c r="FV7" s="412"/>
      <c r="FW7" s="412"/>
      <c r="FX7" s="412"/>
      <c r="FY7" s="412"/>
      <c r="FZ7" s="412"/>
      <c r="GA7" s="412"/>
      <c r="GB7" s="412"/>
      <c r="GC7" s="412"/>
      <c r="GD7" s="412"/>
      <c r="GE7" s="412"/>
      <c r="GF7" s="412"/>
      <c r="GG7" s="412"/>
      <c r="GH7" s="412"/>
      <c r="GI7" s="412"/>
      <c r="GJ7" s="412"/>
      <c r="GK7" s="412"/>
      <c r="GL7" s="412"/>
      <c r="GM7" s="412"/>
      <c r="GN7" s="412"/>
      <c r="GO7" s="412"/>
      <c r="GP7" s="412"/>
      <c r="GQ7" s="412"/>
      <c r="GR7" s="412"/>
      <c r="GS7" s="412"/>
      <c r="GT7" s="412"/>
      <c r="GU7" s="412"/>
      <c r="GV7" s="412"/>
      <c r="GW7" s="412"/>
      <c r="GX7" s="412"/>
      <c r="GY7" s="412"/>
      <c r="GZ7" s="412"/>
      <c r="HA7" s="412"/>
      <c r="HB7" s="412"/>
      <c r="HC7" s="412"/>
      <c r="HD7" s="412"/>
      <c r="HE7" s="412"/>
      <c r="HF7" s="412"/>
      <c r="HG7" s="412"/>
    </row>
    <row r="8" spans="1:215" s="413" customFormat="1" ht="25.5">
      <c r="A8" s="19" t="s">
        <v>136</v>
      </c>
      <c r="B8" s="19"/>
      <c r="C8" s="34"/>
      <c r="D8" s="34"/>
      <c r="E8" s="47" t="s">
        <v>217</v>
      </c>
      <c r="F8" s="430">
        <f aca="true" t="shared" si="0" ref="F8:G14">F9</f>
        <v>8000</v>
      </c>
      <c r="G8" s="430">
        <f t="shared" si="0"/>
        <v>0</v>
      </c>
      <c r="H8" s="411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2"/>
      <c r="DQ8" s="412"/>
      <c r="DR8" s="412"/>
      <c r="DS8" s="412"/>
      <c r="DT8" s="412"/>
      <c r="DU8" s="412"/>
      <c r="DV8" s="412"/>
      <c r="DW8" s="412"/>
      <c r="DX8" s="412"/>
      <c r="DY8" s="412"/>
      <c r="DZ8" s="412"/>
      <c r="EA8" s="412"/>
      <c r="EB8" s="412"/>
      <c r="EC8" s="412"/>
      <c r="ED8" s="412"/>
      <c r="EE8" s="412"/>
      <c r="EF8" s="412"/>
      <c r="EG8" s="412"/>
      <c r="EH8" s="412"/>
      <c r="EI8" s="412"/>
      <c r="EJ8" s="412"/>
      <c r="EK8" s="412"/>
      <c r="EL8" s="412"/>
      <c r="EM8" s="412"/>
      <c r="EN8" s="412"/>
      <c r="EO8" s="412"/>
      <c r="EP8" s="412"/>
      <c r="EQ8" s="412"/>
      <c r="ER8" s="412"/>
      <c r="ES8" s="412"/>
      <c r="ET8" s="412"/>
      <c r="EU8" s="412"/>
      <c r="EV8" s="412"/>
      <c r="EW8" s="412"/>
      <c r="EX8" s="412"/>
      <c r="EY8" s="412"/>
      <c r="EZ8" s="412"/>
      <c r="FA8" s="412"/>
      <c r="FB8" s="412"/>
      <c r="FC8" s="412"/>
      <c r="FD8" s="412"/>
      <c r="FE8" s="412"/>
      <c r="FF8" s="412"/>
      <c r="FG8" s="412"/>
      <c r="FH8" s="412"/>
      <c r="FI8" s="412"/>
      <c r="FJ8" s="412"/>
      <c r="FK8" s="412"/>
      <c r="FL8" s="412"/>
      <c r="FM8" s="412"/>
      <c r="FN8" s="412"/>
      <c r="FO8" s="412"/>
      <c r="FP8" s="412"/>
      <c r="FQ8" s="412"/>
      <c r="FR8" s="412"/>
      <c r="FS8" s="412"/>
      <c r="FT8" s="412"/>
      <c r="FU8" s="412"/>
      <c r="FV8" s="412"/>
      <c r="FW8" s="412"/>
      <c r="FX8" s="412"/>
      <c r="FY8" s="412"/>
      <c r="FZ8" s="412"/>
      <c r="GA8" s="412"/>
      <c r="GB8" s="412"/>
      <c r="GC8" s="412"/>
      <c r="GD8" s="412"/>
      <c r="GE8" s="412"/>
      <c r="GF8" s="412"/>
      <c r="GG8" s="412"/>
      <c r="GH8" s="412"/>
      <c r="GI8" s="412"/>
      <c r="GJ8" s="412"/>
      <c r="GK8" s="412"/>
      <c r="GL8" s="412"/>
      <c r="GM8" s="412"/>
      <c r="GN8" s="412"/>
      <c r="GO8" s="412"/>
      <c r="GP8" s="412"/>
      <c r="GQ8" s="412"/>
      <c r="GR8" s="412"/>
      <c r="GS8" s="412"/>
      <c r="GT8" s="412"/>
      <c r="GU8" s="412"/>
      <c r="GV8" s="412"/>
      <c r="GW8" s="412"/>
      <c r="GX8" s="412"/>
      <c r="GY8" s="412"/>
      <c r="GZ8" s="412"/>
      <c r="HA8" s="412"/>
      <c r="HB8" s="412"/>
      <c r="HC8" s="412"/>
      <c r="HD8" s="412"/>
      <c r="HE8" s="412"/>
      <c r="HF8" s="412"/>
      <c r="HG8" s="412"/>
    </row>
    <row r="9" spans="1:215" s="413" customFormat="1" ht="12.75">
      <c r="A9" s="32"/>
      <c r="B9" s="35" t="s">
        <v>34</v>
      </c>
      <c r="C9" s="36"/>
      <c r="D9" s="36"/>
      <c r="E9" s="16" t="s">
        <v>35</v>
      </c>
      <c r="F9" s="431">
        <f t="shared" si="0"/>
        <v>8000</v>
      </c>
      <c r="G9" s="431">
        <f t="shared" si="0"/>
        <v>0</v>
      </c>
      <c r="H9" s="411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12"/>
      <c r="EP9" s="412"/>
      <c r="EQ9" s="412"/>
      <c r="ER9" s="412"/>
      <c r="ES9" s="412"/>
      <c r="ET9" s="412"/>
      <c r="EU9" s="412"/>
      <c r="EV9" s="412"/>
      <c r="EW9" s="412"/>
      <c r="EX9" s="412"/>
      <c r="EY9" s="412"/>
      <c r="EZ9" s="412"/>
      <c r="FA9" s="412"/>
      <c r="FB9" s="412"/>
      <c r="FC9" s="412"/>
      <c r="FD9" s="412"/>
      <c r="FE9" s="412"/>
      <c r="FF9" s="412"/>
      <c r="FG9" s="412"/>
      <c r="FH9" s="412"/>
      <c r="FI9" s="412"/>
      <c r="FJ9" s="412"/>
      <c r="FK9" s="412"/>
      <c r="FL9" s="412"/>
      <c r="FM9" s="412"/>
      <c r="FN9" s="412"/>
      <c r="FO9" s="412"/>
      <c r="FP9" s="412"/>
      <c r="FQ9" s="412"/>
      <c r="FR9" s="412"/>
      <c r="FS9" s="412"/>
      <c r="FT9" s="412"/>
      <c r="FU9" s="412"/>
      <c r="FV9" s="412"/>
      <c r="FW9" s="412"/>
      <c r="FX9" s="412"/>
      <c r="FY9" s="412"/>
      <c r="FZ9" s="412"/>
      <c r="GA9" s="412"/>
      <c r="GB9" s="412"/>
      <c r="GC9" s="412"/>
      <c r="GD9" s="412"/>
      <c r="GE9" s="412"/>
      <c r="GF9" s="412"/>
      <c r="GG9" s="412"/>
      <c r="GH9" s="412"/>
      <c r="GI9" s="412"/>
      <c r="GJ9" s="412"/>
      <c r="GK9" s="412"/>
      <c r="GL9" s="412"/>
      <c r="GM9" s="412"/>
      <c r="GN9" s="412"/>
      <c r="GO9" s="412"/>
      <c r="GP9" s="412"/>
      <c r="GQ9" s="412"/>
      <c r="GR9" s="412"/>
      <c r="GS9" s="412"/>
      <c r="GT9" s="412"/>
      <c r="GU9" s="412"/>
      <c r="GV9" s="412"/>
      <c r="GW9" s="412"/>
      <c r="GX9" s="412"/>
      <c r="GY9" s="412"/>
      <c r="GZ9" s="412"/>
      <c r="HA9" s="412"/>
      <c r="HB9" s="412"/>
      <c r="HC9" s="412"/>
      <c r="HD9" s="412"/>
      <c r="HE9" s="412"/>
      <c r="HF9" s="412"/>
      <c r="HG9" s="412"/>
    </row>
    <row r="10" spans="1:215" s="413" customFormat="1" ht="12.75">
      <c r="A10" s="32"/>
      <c r="B10" s="1" t="s">
        <v>124</v>
      </c>
      <c r="C10" s="1"/>
      <c r="D10" s="1"/>
      <c r="E10" s="16" t="s">
        <v>244</v>
      </c>
      <c r="F10" s="431">
        <f t="shared" si="0"/>
        <v>8000</v>
      </c>
      <c r="G10" s="431">
        <f t="shared" si="0"/>
        <v>0</v>
      </c>
      <c r="H10" s="411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/>
      <c r="DO10" s="412"/>
      <c r="DP10" s="412"/>
      <c r="DQ10" s="412"/>
      <c r="DR10" s="412"/>
      <c r="DS10" s="412"/>
      <c r="DT10" s="412"/>
      <c r="DU10" s="412"/>
      <c r="DV10" s="412"/>
      <c r="DW10" s="412"/>
      <c r="DX10" s="412"/>
      <c r="DY10" s="412"/>
      <c r="DZ10" s="412"/>
      <c r="EA10" s="412"/>
      <c r="EB10" s="412"/>
      <c r="EC10" s="412"/>
      <c r="ED10" s="412"/>
      <c r="EE10" s="412"/>
      <c r="EF10" s="412"/>
      <c r="EG10" s="412"/>
      <c r="EH10" s="412"/>
      <c r="EI10" s="412"/>
      <c r="EJ10" s="412"/>
      <c r="EK10" s="412"/>
      <c r="EL10" s="412"/>
      <c r="EM10" s="412"/>
      <c r="EN10" s="412"/>
      <c r="EO10" s="412"/>
      <c r="EP10" s="412"/>
      <c r="EQ10" s="412"/>
      <c r="ER10" s="412"/>
      <c r="ES10" s="412"/>
      <c r="ET10" s="412"/>
      <c r="EU10" s="412"/>
      <c r="EV10" s="412"/>
      <c r="EW10" s="412"/>
      <c r="EX10" s="412"/>
      <c r="EY10" s="412"/>
      <c r="EZ10" s="412"/>
      <c r="FA10" s="412"/>
      <c r="FB10" s="412"/>
      <c r="FC10" s="412"/>
      <c r="FD10" s="412"/>
      <c r="FE10" s="412"/>
      <c r="FF10" s="412"/>
      <c r="FG10" s="412"/>
      <c r="FH10" s="412"/>
      <c r="FI10" s="412"/>
      <c r="FJ10" s="412"/>
      <c r="FK10" s="412"/>
      <c r="FL10" s="412"/>
      <c r="FM10" s="412"/>
      <c r="FN10" s="412"/>
      <c r="FO10" s="412"/>
      <c r="FP10" s="412"/>
      <c r="FQ10" s="412"/>
      <c r="FR10" s="412"/>
      <c r="FS10" s="412"/>
      <c r="FT10" s="412"/>
      <c r="FU10" s="412"/>
      <c r="FV10" s="412"/>
      <c r="FW10" s="412"/>
      <c r="FX10" s="412"/>
      <c r="FY10" s="412"/>
      <c r="FZ10" s="412"/>
      <c r="GA10" s="412"/>
      <c r="GB10" s="412"/>
      <c r="GC10" s="412"/>
      <c r="GD10" s="412"/>
      <c r="GE10" s="412"/>
      <c r="GF10" s="412"/>
      <c r="GG10" s="412"/>
      <c r="GH10" s="412"/>
      <c r="GI10" s="412"/>
      <c r="GJ10" s="412"/>
      <c r="GK10" s="412"/>
      <c r="GL10" s="412"/>
      <c r="GM10" s="412"/>
      <c r="GN10" s="412"/>
      <c r="GO10" s="412"/>
      <c r="GP10" s="412"/>
      <c r="GQ10" s="412"/>
      <c r="GR10" s="412"/>
      <c r="GS10" s="412"/>
      <c r="GT10" s="412"/>
      <c r="GU10" s="412"/>
      <c r="GV10" s="412"/>
      <c r="GW10" s="412"/>
      <c r="GX10" s="412"/>
      <c r="GY10" s="412"/>
      <c r="GZ10" s="412"/>
      <c r="HA10" s="412"/>
      <c r="HB10" s="412"/>
      <c r="HC10" s="412"/>
      <c r="HD10" s="412"/>
      <c r="HE10" s="412"/>
      <c r="HF10" s="412"/>
      <c r="HG10" s="412"/>
    </row>
    <row r="11" spans="1:215" s="413" customFormat="1" ht="12.75">
      <c r="A11" s="32"/>
      <c r="B11" s="32"/>
      <c r="C11" s="1" t="s">
        <v>37</v>
      </c>
      <c r="D11" s="1"/>
      <c r="E11" s="16" t="s">
        <v>38</v>
      </c>
      <c r="F11" s="431">
        <f t="shared" si="0"/>
        <v>8000</v>
      </c>
      <c r="G11" s="431">
        <f t="shared" si="0"/>
        <v>0</v>
      </c>
      <c r="H11" s="411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412"/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2"/>
      <c r="EU11" s="412"/>
      <c r="EV11" s="412"/>
      <c r="EW11" s="412"/>
      <c r="EX11" s="412"/>
      <c r="EY11" s="412"/>
      <c r="EZ11" s="412"/>
      <c r="FA11" s="412"/>
      <c r="FB11" s="412"/>
      <c r="FC11" s="412"/>
      <c r="FD11" s="412"/>
      <c r="FE11" s="412"/>
      <c r="FF11" s="412"/>
      <c r="FG11" s="412"/>
      <c r="FH11" s="412"/>
      <c r="FI11" s="412"/>
      <c r="FJ11" s="412"/>
      <c r="FK11" s="412"/>
      <c r="FL11" s="412"/>
      <c r="FM11" s="412"/>
      <c r="FN11" s="412"/>
      <c r="FO11" s="412"/>
      <c r="FP11" s="412"/>
      <c r="FQ11" s="412"/>
      <c r="FR11" s="412"/>
      <c r="FS11" s="412"/>
      <c r="FT11" s="412"/>
      <c r="FU11" s="412"/>
      <c r="FV11" s="412"/>
      <c r="FW11" s="412"/>
      <c r="FX11" s="412"/>
      <c r="FY11" s="412"/>
      <c r="FZ11" s="412"/>
      <c r="GA11" s="412"/>
      <c r="GB11" s="412"/>
      <c r="GC11" s="412"/>
      <c r="GD11" s="412"/>
      <c r="GE11" s="412"/>
      <c r="GF11" s="412"/>
      <c r="GG11" s="412"/>
      <c r="GH11" s="412"/>
      <c r="GI11" s="412"/>
      <c r="GJ11" s="412"/>
      <c r="GK11" s="412"/>
      <c r="GL11" s="412"/>
      <c r="GM11" s="412"/>
      <c r="GN11" s="412"/>
      <c r="GO11" s="412"/>
      <c r="GP11" s="412"/>
      <c r="GQ11" s="412"/>
      <c r="GR11" s="412"/>
      <c r="GS11" s="412"/>
      <c r="GT11" s="412"/>
      <c r="GU11" s="412"/>
      <c r="GV11" s="412"/>
      <c r="GW11" s="412"/>
      <c r="GX11" s="412"/>
      <c r="GY11" s="412"/>
      <c r="GZ11" s="412"/>
      <c r="HA11" s="412"/>
      <c r="HB11" s="412"/>
      <c r="HC11" s="412"/>
      <c r="HD11" s="412"/>
      <c r="HE11" s="412"/>
      <c r="HF11" s="412"/>
      <c r="HG11" s="412"/>
    </row>
    <row r="12" spans="1:215" s="413" customFormat="1" ht="38.25">
      <c r="A12" s="32"/>
      <c r="B12" s="32"/>
      <c r="C12" s="59" t="s">
        <v>102</v>
      </c>
      <c r="D12" s="1"/>
      <c r="E12" s="16" t="s">
        <v>103</v>
      </c>
      <c r="F12" s="431">
        <f t="shared" si="0"/>
        <v>8000</v>
      </c>
      <c r="G12" s="431">
        <f t="shared" si="0"/>
        <v>0</v>
      </c>
      <c r="H12" s="411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412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2"/>
      <c r="CC12" s="412"/>
      <c r="CD12" s="412"/>
      <c r="CE12" s="412"/>
      <c r="CF12" s="412"/>
      <c r="CG12" s="412"/>
      <c r="CH12" s="412"/>
      <c r="CI12" s="412"/>
      <c r="CJ12" s="412"/>
      <c r="CK12" s="412"/>
      <c r="CL12" s="412"/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2"/>
      <c r="CX12" s="412"/>
      <c r="CY12" s="412"/>
      <c r="CZ12" s="412"/>
      <c r="DA12" s="412"/>
      <c r="DB12" s="412"/>
      <c r="DC12" s="412"/>
      <c r="DD12" s="412"/>
      <c r="DE12" s="412"/>
      <c r="DF12" s="412"/>
      <c r="DG12" s="412"/>
      <c r="DH12" s="412"/>
      <c r="DI12" s="412"/>
      <c r="DJ12" s="412"/>
      <c r="DK12" s="412"/>
      <c r="DL12" s="412"/>
      <c r="DM12" s="412"/>
      <c r="DN12" s="412"/>
      <c r="DO12" s="412"/>
      <c r="DP12" s="412"/>
      <c r="DQ12" s="412"/>
      <c r="DR12" s="412"/>
      <c r="DS12" s="412"/>
      <c r="DT12" s="412"/>
      <c r="DU12" s="412"/>
      <c r="DV12" s="412"/>
      <c r="DW12" s="412"/>
      <c r="DX12" s="412"/>
      <c r="DY12" s="412"/>
      <c r="DZ12" s="412"/>
      <c r="EA12" s="412"/>
      <c r="EB12" s="412"/>
      <c r="EC12" s="412"/>
      <c r="ED12" s="412"/>
      <c r="EE12" s="412"/>
      <c r="EF12" s="412"/>
      <c r="EG12" s="412"/>
      <c r="EH12" s="412"/>
      <c r="EI12" s="412"/>
      <c r="EJ12" s="412"/>
      <c r="EK12" s="412"/>
      <c r="EL12" s="412"/>
      <c r="EM12" s="412"/>
      <c r="EN12" s="412"/>
      <c r="EO12" s="412"/>
      <c r="EP12" s="412"/>
      <c r="EQ12" s="412"/>
      <c r="ER12" s="412"/>
      <c r="ES12" s="412"/>
      <c r="ET12" s="412"/>
      <c r="EU12" s="412"/>
      <c r="EV12" s="412"/>
      <c r="EW12" s="412"/>
      <c r="EX12" s="412"/>
      <c r="EY12" s="412"/>
      <c r="EZ12" s="412"/>
      <c r="FA12" s="412"/>
      <c r="FB12" s="412"/>
      <c r="FC12" s="412"/>
      <c r="FD12" s="412"/>
      <c r="FE12" s="412"/>
      <c r="FF12" s="412"/>
      <c r="FG12" s="412"/>
      <c r="FH12" s="412"/>
      <c r="FI12" s="412"/>
      <c r="FJ12" s="412"/>
      <c r="FK12" s="412"/>
      <c r="FL12" s="412"/>
      <c r="FM12" s="412"/>
      <c r="FN12" s="412"/>
      <c r="FO12" s="412"/>
      <c r="FP12" s="412"/>
      <c r="FQ12" s="412"/>
      <c r="FR12" s="412"/>
      <c r="FS12" s="412"/>
      <c r="FT12" s="412"/>
      <c r="FU12" s="412"/>
      <c r="FV12" s="412"/>
      <c r="FW12" s="412"/>
      <c r="FX12" s="412"/>
      <c r="FY12" s="412"/>
      <c r="FZ12" s="412"/>
      <c r="GA12" s="412"/>
      <c r="GB12" s="412"/>
      <c r="GC12" s="412"/>
      <c r="GD12" s="412"/>
      <c r="GE12" s="412"/>
      <c r="GF12" s="412"/>
      <c r="GG12" s="412"/>
      <c r="GH12" s="412"/>
      <c r="GI12" s="412"/>
      <c r="GJ12" s="412"/>
      <c r="GK12" s="412"/>
      <c r="GL12" s="412"/>
      <c r="GM12" s="412"/>
      <c r="GN12" s="412"/>
      <c r="GO12" s="412"/>
      <c r="GP12" s="412"/>
      <c r="GQ12" s="412"/>
      <c r="GR12" s="412"/>
      <c r="GS12" s="412"/>
      <c r="GT12" s="412"/>
      <c r="GU12" s="412"/>
      <c r="GV12" s="412"/>
      <c r="GW12" s="412"/>
      <c r="GX12" s="412"/>
      <c r="GY12" s="412"/>
      <c r="GZ12" s="412"/>
      <c r="HA12" s="412"/>
      <c r="HB12" s="412"/>
      <c r="HC12" s="412"/>
      <c r="HD12" s="412"/>
      <c r="HE12" s="412"/>
      <c r="HF12" s="412"/>
      <c r="HG12" s="412"/>
    </row>
    <row r="13" spans="1:215" s="413" customFormat="1" ht="25.5">
      <c r="A13" s="32"/>
      <c r="B13" s="32"/>
      <c r="C13" s="59" t="s">
        <v>1038</v>
      </c>
      <c r="D13" s="32"/>
      <c r="E13" s="126" t="s">
        <v>1039</v>
      </c>
      <c r="F13" s="431">
        <f t="shared" si="0"/>
        <v>8000</v>
      </c>
      <c r="G13" s="431">
        <f t="shared" si="0"/>
        <v>0</v>
      </c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2"/>
      <c r="DQ13" s="412"/>
      <c r="DR13" s="412"/>
      <c r="DS13" s="412"/>
      <c r="DT13" s="412"/>
      <c r="DU13" s="412"/>
      <c r="DV13" s="412"/>
      <c r="DW13" s="412"/>
      <c r="DX13" s="412"/>
      <c r="DY13" s="412"/>
      <c r="DZ13" s="412"/>
      <c r="EA13" s="412"/>
      <c r="EB13" s="412"/>
      <c r="EC13" s="412"/>
      <c r="ED13" s="412"/>
      <c r="EE13" s="412"/>
      <c r="EF13" s="412"/>
      <c r="EG13" s="412"/>
      <c r="EH13" s="412"/>
      <c r="EI13" s="412"/>
      <c r="EJ13" s="412"/>
      <c r="EK13" s="412"/>
      <c r="EL13" s="412"/>
      <c r="EM13" s="412"/>
      <c r="EN13" s="412"/>
      <c r="EO13" s="412"/>
      <c r="EP13" s="412"/>
      <c r="EQ13" s="412"/>
      <c r="ER13" s="412"/>
      <c r="ES13" s="412"/>
      <c r="ET13" s="412"/>
      <c r="EU13" s="412"/>
      <c r="EV13" s="412"/>
      <c r="EW13" s="412"/>
      <c r="EX13" s="412"/>
      <c r="EY13" s="412"/>
      <c r="EZ13" s="412"/>
      <c r="FA13" s="412"/>
      <c r="FB13" s="412"/>
      <c r="FC13" s="412"/>
      <c r="FD13" s="412"/>
      <c r="FE13" s="412"/>
      <c r="FF13" s="412"/>
      <c r="FG13" s="412"/>
      <c r="FH13" s="412"/>
      <c r="FI13" s="412"/>
      <c r="FJ13" s="412"/>
      <c r="FK13" s="412"/>
      <c r="FL13" s="412"/>
      <c r="FM13" s="412"/>
      <c r="FN13" s="412"/>
      <c r="FO13" s="412"/>
      <c r="FP13" s="412"/>
      <c r="FQ13" s="412"/>
      <c r="FR13" s="412"/>
      <c r="FS13" s="412"/>
      <c r="FT13" s="412"/>
      <c r="FU13" s="412"/>
      <c r="FV13" s="412"/>
      <c r="FW13" s="412"/>
      <c r="FX13" s="412"/>
      <c r="FY13" s="412"/>
      <c r="FZ13" s="412"/>
      <c r="GA13" s="412"/>
      <c r="GB13" s="412"/>
      <c r="GC13" s="412"/>
      <c r="GD13" s="412"/>
      <c r="GE13" s="412"/>
      <c r="GF13" s="412"/>
      <c r="GG13" s="412"/>
      <c r="GH13" s="412"/>
      <c r="GI13" s="412"/>
      <c r="GJ13" s="412"/>
      <c r="GK13" s="412"/>
      <c r="GL13" s="412"/>
      <c r="GM13" s="412"/>
      <c r="GN13" s="412"/>
      <c r="GO13" s="412"/>
      <c r="GP13" s="412"/>
      <c r="GQ13" s="412"/>
      <c r="GR13" s="412"/>
      <c r="GS13" s="412"/>
      <c r="GT13" s="412"/>
      <c r="GU13" s="412"/>
      <c r="GV13" s="412"/>
      <c r="GW13" s="412"/>
      <c r="GX13" s="412"/>
      <c r="GY13" s="412"/>
      <c r="GZ13" s="412"/>
      <c r="HA13" s="412"/>
      <c r="HB13" s="412"/>
      <c r="HC13" s="412"/>
      <c r="HD13" s="412"/>
      <c r="HE13" s="412"/>
      <c r="HF13" s="412"/>
      <c r="HG13" s="412"/>
    </row>
    <row r="14" spans="1:215" s="413" customFormat="1" ht="12.75">
      <c r="A14" s="32"/>
      <c r="B14" s="32"/>
      <c r="C14" s="405"/>
      <c r="D14" s="1" t="s">
        <v>212</v>
      </c>
      <c r="E14" s="16" t="s">
        <v>45</v>
      </c>
      <c r="F14" s="431">
        <f t="shared" si="0"/>
        <v>8000</v>
      </c>
      <c r="G14" s="431">
        <f t="shared" si="0"/>
        <v>0</v>
      </c>
      <c r="H14" s="411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2"/>
      <c r="EE14" s="412"/>
      <c r="EF14" s="412"/>
      <c r="EG14" s="412"/>
      <c r="EH14" s="412"/>
      <c r="EI14" s="412"/>
      <c r="EJ14" s="412"/>
      <c r="EK14" s="412"/>
      <c r="EL14" s="412"/>
      <c r="EM14" s="412"/>
      <c r="EN14" s="412"/>
      <c r="EO14" s="412"/>
      <c r="EP14" s="412"/>
      <c r="EQ14" s="412"/>
      <c r="ER14" s="412"/>
      <c r="ES14" s="412"/>
      <c r="ET14" s="412"/>
      <c r="EU14" s="412"/>
      <c r="EV14" s="412"/>
      <c r="EW14" s="412"/>
      <c r="EX14" s="412"/>
      <c r="EY14" s="412"/>
      <c r="EZ14" s="412"/>
      <c r="FA14" s="412"/>
      <c r="FB14" s="412"/>
      <c r="FC14" s="412"/>
      <c r="FD14" s="412"/>
      <c r="FE14" s="412"/>
      <c r="FF14" s="412"/>
      <c r="FG14" s="412"/>
      <c r="FH14" s="412"/>
      <c r="FI14" s="412"/>
      <c r="FJ14" s="412"/>
      <c r="FK14" s="412"/>
      <c r="FL14" s="412"/>
      <c r="FM14" s="412"/>
      <c r="FN14" s="412"/>
      <c r="FO14" s="412"/>
      <c r="FP14" s="412"/>
      <c r="FQ14" s="412"/>
      <c r="FR14" s="412"/>
      <c r="FS14" s="412"/>
      <c r="FT14" s="412"/>
      <c r="FU14" s="412"/>
      <c r="FV14" s="412"/>
      <c r="FW14" s="412"/>
      <c r="FX14" s="412"/>
      <c r="FY14" s="412"/>
      <c r="FZ14" s="412"/>
      <c r="GA14" s="412"/>
      <c r="GB14" s="412"/>
      <c r="GC14" s="412"/>
      <c r="GD14" s="412"/>
      <c r="GE14" s="412"/>
      <c r="GF14" s="412"/>
      <c r="GG14" s="412"/>
      <c r="GH14" s="412"/>
      <c r="GI14" s="412"/>
      <c r="GJ14" s="412"/>
      <c r="GK14" s="412"/>
      <c r="GL14" s="412"/>
      <c r="GM14" s="412"/>
      <c r="GN14" s="412"/>
      <c r="GO14" s="412"/>
      <c r="GP14" s="412"/>
      <c r="GQ14" s="412"/>
      <c r="GR14" s="412"/>
      <c r="GS14" s="412"/>
      <c r="GT14" s="412"/>
      <c r="GU14" s="412"/>
      <c r="GV14" s="412"/>
      <c r="GW14" s="412"/>
      <c r="GX14" s="412"/>
      <c r="GY14" s="412"/>
      <c r="GZ14" s="412"/>
      <c r="HA14" s="412"/>
      <c r="HB14" s="412"/>
      <c r="HC14" s="412"/>
      <c r="HD14" s="412"/>
      <c r="HE14" s="412"/>
      <c r="HF14" s="412"/>
      <c r="HG14" s="412"/>
    </row>
    <row r="15" spans="1:215" s="413" customFormat="1" ht="25.5">
      <c r="A15" s="32"/>
      <c r="B15" s="32"/>
      <c r="C15" s="405"/>
      <c r="D15" s="1" t="s">
        <v>125</v>
      </c>
      <c r="E15" s="16" t="s">
        <v>290</v>
      </c>
      <c r="F15" s="431">
        <v>8000</v>
      </c>
      <c r="G15" s="431">
        <v>0</v>
      </c>
      <c r="H15" s="411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  <c r="FG15" s="412"/>
      <c r="FH15" s="412"/>
      <c r="FI15" s="412"/>
      <c r="FJ15" s="412"/>
      <c r="FK15" s="412"/>
      <c r="FL15" s="412"/>
      <c r="FM15" s="412"/>
      <c r="FN15" s="412"/>
      <c r="FO15" s="412"/>
      <c r="FP15" s="412"/>
      <c r="FQ15" s="412"/>
      <c r="FR15" s="412"/>
      <c r="FS15" s="412"/>
      <c r="FT15" s="412"/>
      <c r="FU15" s="412"/>
      <c r="FV15" s="412"/>
      <c r="FW15" s="412"/>
      <c r="FX15" s="412"/>
      <c r="FY15" s="412"/>
      <c r="FZ15" s="412"/>
      <c r="GA15" s="412"/>
      <c r="GB15" s="412"/>
      <c r="GC15" s="412"/>
      <c r="GD15" s="412"/>
      <c r="GE15" s="412"/>
      <c r="GF15" s="412"/>
      <c r="GG15" s="412"/>
      <c r="GH15" s="412"/>
      <c r="GI15" s="412"/>
      <c r="GJ15" s="412"/>
      <c r="GK15" s="412"/>
      <c r="GL15" s="412"/>
      <c r="GM15" s="412"/>
      <c r="GN15" s="412"/>
      <c r="GO15" s="412"/>
      <c r="GP15" s="412"/>
      <c r="GQ15" s="412"/>
      <c r="GR15" s="412"/>
      <c r="GS15" s="412"/>
      <c r="GT15" s="412"/>
      <c r="GU15" s="412"/>
      <c r="GV15" s="412"/>
      <c r="GW15" s="412"/>
      <c r="GX15" s="412"/>
      <c r="GY15" s="412"/>
      <c r="GZ15" s="412"/>
      <c r="HA15" s="412"/>
      <c r="HB15" s="412"/>
      <c r="HC15" s="412"/>
      <c r="HD15" s="412"/>
      <c r="HE15" s="412"/>
      <c r="HF15" s="412"/>
      <c r="HG15" s="412"/>
    </row>
    <row r="16" spans="1:215" s="437" customFormat="1" ht="25.5">
      <c r="A16" s="10" t="s">
        <v>137</v>
      </c>
      <c r="B16" s="10"/>
      <c r="C16" s="58"/>
      <c r="D16" s="10"/>
      <c r="E16" s="15" t="s">
        <v>222</v>
      </c>
      <c r="F16" s="430">
        <f aca="true" t="shared" si="1" ref="F16:G22">F17</f>
        <v>-6721.267</v>
      </c>
      <c r="G16" s="430">
        <f t="shared" si="1"/>
        <v>-7131.446</v>
      </c>
      <c r="H16" s="435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436"/>
      <c r="CT16" s="436"/>
      <c r="CU16" s="436"/>
      <c r="CV16" s="436"/>
      <c r="CW16" s="436"/>
      <c r="CX16" s="436"/>
      <c r="CY16" s="436"/>
      <c r="CZ16" s="436"/>
      <c r="DA16" s="436"/>
      <c r="DB16" s="436"/>
      <c r="DC16" s="436"/>
      <c r="DD16" s="436"/>
      <c r="DE16" s="436"/>
      <c r="DF16" s="436"/>
      <c r="DG16" s="436"/>
      <c r="DH16" s="436"/>
      <c r="DI16" s="436"/>
      <c r="DJ16" s="436"/>
      <c r="DK16" s="436"/>
      <c r="DL16" s="436"/>
      <c r="DM16" s="436"/>
      <c r="DN16" s="436"/>
      <c r="DO16" s="436"/>
      <c r="DP16" s="436"/>
      <c r="DQ16" s="436"/>
      <c r="DR16" s="436"/>
      <c r="DS16" s="436"/>
      <c r="DT16" s="436"/>
      <c r="DU16" s="436"/>
      <c r="DV16" s="436"/>
      <c r="DW16" s="436"/>
      <c r="DX16" s="436"/>
      <c r="DY16" s="436"/>
      <c r="DZ16" s="436"/>
      <c r="EA16" s="436"/>
      <c r="EB16" s="436"/>
      <c r="EC16" s="436"/>
      <c r="ED16" s="436"/>
      <c r="EE16" s="436"/>
      <c r="EF16" s="436"/>
      <c r="EG16" s="436"/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6"/>
      <c r="EZ16" s="436"/>
      <c r="FA16" s="436"/>
      <c r="FB16" s="436"/>
      <c r="FC16" s="436"/>
      <c r="FD16" s="436"/>
      <c r="FE16" s="436"/>
      <c r="FF16" s="436"/>
      <c r="FG16" s="436"/>
      <c r="FH16" s="436"/>
      <c r="FI16" s="436"/>
      <c r="FJ16" s="436"/>
      <c r="FK16" s="436"/>
      <c r="FL16" s="436"/>
      <c r="FM16" s="436"/>
      <c r="FN16" s="436"/>
      <c r="FO16" s="436"/>
      <c r="FP16" s="436"/>
      <c r="FQ16" s="436"/>
      <c r="FR16" s="436"/>
      <c r="FS16" s="436"/>
      <c r="FT16" s="436"/>
      <c r="FU16" s="436"/>
      <c r="FV16" s="436"/>
      <c r="FW16" s="436"/>
      <c r="FX16" s="436"/>
      <c r="FY16" s="436"/>
      <c r="FZ16" s="436"/>
      <c r="GA16" s="436"/>
      <c r="GB16" s="436"/>
      <c r="GC16" s="436"/>
      <c r="GD16" s="436"/>
      <c r="GE16" s="436"/>
      <c r="GF16" s="436"/>
      <c r="GG16" s="436"/>
      <c r="GH16" s="436"/>
      <c r="GI16" s="436"/>
      <c r="GJ16" s="436"/>
      <c r="GK16" s="436"/>
      <c r="GL16" s="436"/>
      <c r="GM16" s="436"/>
      <c r="GN16" s="436"/>
      <c r="GO16" s="436"/>
      <c r="GP16" s="436"/>
      <c r="GQ16" s="436"/>
      <c r="GR16" s="436"/>
      <c r="GS16" s="436"/>
      <c r="GT16" s="436"/>
      <c r="GU16" s="436"/>
      <c r="GV16" s="436"/>
      <c r="GW16" s="436"/>
      <c r="GX16" s="436"/>
      <c r="GY16" s="436"/>
      <c r="GZ16" s="436"/>
      <c r="HA16" s="436"/>
      <c r="HB16" s="436"/>
      <c r="HC16" s="436"/>
      <c r="HD16" s="436"/>
      <c r="HE16" s="436"/>
      <c r="HF16" s="436"/>
      <c r="HG16" s="436"/>
    </row>
    <row r="17" spans="1:215" s="29" customFormat="1" ht="12.75">
      <c r="A17" s="1"/>
      <c r="B17" s="35" t="s">
        <v>34</v>
      </c>
      <c r="C17" s="36"/>
      <c r="D17" s="36"/>
      <c r="E17" s="16" t="s">
        <v>35</v>
      </c>
      <c r="F17" s="431">
        <f t="shared" si="1"/>
        <v>-6721.267</v>
      </c>
      <c r="G17" s="431">
        <f t="shared" si="1"/>
        <v>-7131.446</v>
      </c>
      <c r="H17" s="12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</row>
    <row r="18" spans="1:215" s="29" customFormat="1" ht="12.75">
      <c r="A18" s="1"/>
      <c r="B18" s="1" t="s">
        <v>124</v>
      </c>
      <c r="C18" s="1"/>
      <c r="D18" s="1"/>
      <c r="E18" s="16" t="s">
        <v>244</v>
      </c>
      <c r="F18" s="431">
        <f t="shared" si="1"/>
        <v>-6721.267</v>
      </c>
      <c r="G18" s="431">
        <f t="shared" si="1"/>
        <v>-7131.446</v>
      </c>
      <c r="H18" s="12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</row>
    <row r="19" spans="1:215" s="29" customFormat="1" ht="12.75">
      <c r="A19" s="1"/>
      <c r="B19" s="1"/>
      <c r="C19" s="1" t="s">
        <v>245</v>
      </c>
      <c r="D19" s="1"/>
      <c r="E19" s="16" t="s">
        <v>246</v>
      </c>
      <c r="F19" s="431">
        <f t="shared" si="1"/>
        <v>-6721.267</v>
      </c>
      <c r="G19" s="431">
        <f t="shared" si="1"/>
        <v>-7131.446</v>
      </c>
      <c r="H19" s="12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</row>
    <row r="20" spans="1:215" s="29" customFormat="1" ht="12.75">
      <c r="A20" s="1"/>
      <c r="B20" s="1"/>
      <c r="C20" s="1" t="s">
        <v>1099</v>
      </c>
      <c r="D20" s="1"/>
      <c r="E20" s="16" t="s">
        <v>1101</v>
      </c>
      <c r="F20" s="431">
        <f t="shared" si="1"/>
        <v>-6721.267</v>
      </c>
      <c r="G20" s="431">
        <f t="shared" si="1"/>
        <v>-7131.446</v>
      </c>
      <c r="H20" s="12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</row>
    <row r="21" spans="1:215" s="29" customFormat="1" ht="25.5">
      <c r="A21" s="1"/>
      <c r="B21" s="1"/>
      <c r="C21" s="1" t="s">
        <v>1100</v>
      </c>
      <c r="D21" s="1"/>
      <c r="E21" s="16" t="s">
        <v>1102</v>
      </c>
      <c r="F21" s="431">
        <f t="shared" si="1"/>
        <v>-6721.267</v>
      </c>
      <c r="G21" s="431">
        <f t="shared" si="1"/>
        <v>-7131.446</v>
      </c>
      <c r="H21" s="12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</row>
    <row r="22" spans="1:215" s="29" customFormat="1" ht="12.75">
      <c r="A22" s="1"/>
      <c r="B22" s="1"/>
      <c r="C22" s="1"/>
      <c r="D22" s="1" t="s">
        <v>210</v>
      </c>
      <c r="E22" s="16" t="s">
        <v>211</v>
      </c>
      <c r="F22" s="431">
        <f t="shared" si="1"/>
        <v>-6721.267</v>
      </c>
      <c r="G22" s="431">
        <f t="shared" si="1"/>
        <v>-7131.446</v>
      </c>
      <c r="H22" s="12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</row>
    <row r="23" spans="1:215" s="29" customFormat="1" ht="12.75">
      <c r="A23" s="1"/>
      <c r="B23" s="1"/>
      <c r="C23" s="1"/>
      <c r="D23" s="1" t="s">
        <v>8</v>
      </c>
      <c r="E23" s="16" t="s">
        <v>216</v>
      </c>
      <c r="F23" s="431">
        <v>-6721.267</v>
      </c>
      <c r="G23" s="431">
        <v>-7131.446</v>
      </c>
      <c r="H23" s="12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</row>
    <row r="24" spans="1:7" ht="38.25">
      <c r="A24" s="37" t="s">
        <v>2</v>
      </c>
      <c r="B24" s="37"/>
      <c r="C24" s="38"/>
      <c r="D24" s="38"/>
      <c r="E24" s="15" t="s">
        <v>223</v>
      </c>
      <c r="F24" s="66">
        <f aca="true" t="shared" si="2" ref="F24:G30">F25</f>
        <v>102</v>
      </c>
      <c r="G24" s="66">
        <f t="shared" si="2"/>
        <v>102</v>
      </c>
    </row>
    <row r="25" spans="1:7" ht="12.75">
      <c r="A25" s="63"/>
      <c r="B25" s="1" t="s">
        <v>26</v>
      </c>
      <c r="C25" s="1" t="s">
        <v>134</v>
      </c>
      <c r="D25" s="1" t="s">
        <v>134</v>
      </c>
      <c r="E25" s="49" t="s">
        <v>27</v>
      </c>
      <c r="F25" s="61">
        <f t="shared" si="2"/>
        <v>102</v>
      </c>
      <c r="G25" s="61">
        <f t="shared" si="2"/>
        <v>102</v>
      </c>
    </row>
    <row r="26" spans="1:7" ht="38.25">
      <c r="A26" s="63"/>
      <c r="B26" s="83" t="s">
        <v>11</v>
      </c>
      <c r="C26" s="59"/>
      <c r="D26" s="1"/>
      <c r="E26" s="16" t="s">
        <v>347</v>
      </c>
      <c r="F26" s="61">
        <f t="shared" si="2"/>
        <v>102</v>
      </c>
      <c r="G26" s="61">
        <f t="shared" si="2"/>
        <v>102</v>
      </c>
    </row>
    <row r="27" spans="1:7" ht="25.5">
      <c r="A27" s="63"/>
      <c r="B27" s="82"/>
      <c r="C27" s="59" t="s">
        <v>28</v>
      </c>
      <c r="D27" s="1"/>
      <c r="E27" s="2" t="s">
        <v>29</v>
      </c>
      <c r="F27" s="61">
        <f t="shared" si="2"/>
        <v>102</v>
      </c>
      <c r="G27" s="61">
        <f t="shared" si="2"/>
        <v>102</v>
      </c>
    </row>
    <row r="28" spans="1:7" ht="12.75">
      <c r="A28" s="63"/>
      <c r="B28" s="82"/>
      <c r="C28" s="59" t="s">
        <v>30</v>
      </c>
      <c r="D28" s="1"/>
      <c r="E28" s="2" t="s">
        <v>31</v>
      </c>
      <c r="F28" s="61">
        <f t="shared" si="2"/>
        <v>102</v>
      </c>
      <c r="G28" s="61">
        <f t="shared" si="2"/>
        <v>102</v>
      </c>
    </row>
    <row r="29" spans="1:7" ht="12.75">
      <c r="A29" s="63"/>
      <c r="B29" s="82"/>
      <c r="C29" s="59" t="s">
        <v>32</v>
      </c>
      <c r="D29" s="1"/>
      <c r="E29" s="2" t="s">
        <v>33</v>
      </c>
      <c r="F29" s="61">
        <f t="shared" si="2"/>
        <v>102</v>
      </c>
      <c r="G29" s="61">
        <f t="shared" si="2"/>
        <v>102</v>
      </c>
    </row>
    <row r="30" spans="1:7" ht="38.25">
      <c r="A30" s="63"/>
      <c r="B30" s="82"/>
      <c r="C30" s="59"/>
      <c r="D30" s="1" t="s">
        <v>227</v>
      </c>
      <c r="E30" s="16" t="s">
        <v>331</v>
      </c>
      <c r="F30" s="61">
        <f t="shared" si="2"/>
        <v>102</v>
      </c>
      <c r="G30" s="61">
        <f t="shared" si="2"/>
        <v>102</v>
      </c>
    </row>
    <row r="31" spans="1:7" ht="25.5">
      <c r="A31" s="63"/>
      <c r="B31" s="82"/>
      <c r="C31" s="59"/>
      <c r="D31" s="1" t="s">
        <v>121</v>
      </c>
      <c r="E31" s="16" t="s">
        <v>229</v>
      </c>
      <c r="F31" s="61">
        <v>102</v>
      </c>
      <c r="G31" s="61">
        <v>102</v>
      </c>
    </row>
    <row r="32" spans="1:7" ht="25.5">
      <c r="A32" s="10" t="s">
        <v>130</v>
      </c>
      <c r="B32" s="10"/>
      <c r="C32" s="10"/>
      <c r="D32" s="10"/>
      <c r="E32" s="15" t="s">
        <v>266</v>
      </c>
      <c r="F32" s="66">
        <f>F33+F41</f>
        <v>397.5</v>
      </c>
      <c r="G32" s="66">
        <f>G33+G41</f>
        <v>397.5</v>
      </c>
    </row>
    <row r="33" spans="1:7" ht="12.75">
      <c r="A33" s="1"/>
      <c r="B33" s="1" t="s">
        <v>26</v>
      </c>
      <c r="C33" s="1"/>
      <c r="D33" s="1"/>
      <c r="E33" s="2" t="s">
        <v>27</v>
      </c>
      <c r="F33" s="61">
        <f aca="true" t="shared" si="3" ref="F33:G37">F34</f>
        <v>0</v>
      </c>
      <c r="G33" s="61">
        <f t="shared" si="3"/>
        <v>0</v>
      </c>
    </row>
    <row r="34" spans="1:7" ht="12.75">
      <c r="A34" s="1"/>
      <c r="B34" s="1" t="s">
        <v>80</v>
      </c>
      <c r="C34" s="1"/>
      <c r="D34" s="1"/>
      <c r="E34" s="16" t="s">
        <v>81</v>
      </c>
      <c r="F34" s="61">
        <f t="shared" si="3"/>
        <v>0</v>
      </c>
      <c r="G34" s="61">
        <f t="shared" si="3"/>
        <v>0</v>
      </c>
    </row>
    <row r="35" spans="1:7" ht="25.5">
      <c r="A35" s="1"/>
      <c r="B35" s="1"/>
      <c r="C35" s="1" t="s">
        <v>82</v>
      </c>
      <c r="D35" s="1"/>
      <c r="E35" s="16" t="s">
        <v>264</v>
      </c>
      <c r="F35" s="61">
        <f t="shared" si="3"/>
        <v>0</v>
      </c>
      <c r="G35" s="61">
        <f t="shared" si="3"/>
        <v>0</v>
      </c>
    </row>
    <row r="36" spans="1:7" ht="12.75">
      <c r="A36" s="1"/>
      <c r="B36" s="1"/>
      <c r="C36" s="1" t="s">
        <v>84</v>
      </c>
      <c r="D36" s="1"/>
      <c r="E36" s="16" t="s">
        <v>85</v>
      </c>
      <c r="F36" s="61">
        <f t="shared" si="3"/>
        <v>0</v>
      </c>
      <c r="G36" s="61">
        <f t="shared" si="3"/>
        <v>0</v>
      </c>
    </row>
    <row r="37" spans="1:7" ht="25.5">
      <c r="A37" s="1"/>
      <c r="B37" s="1"/>
      <c r="C37" s="22"/>
      <c r="D37" s="1" t="s">
        <v>232</v>
      </c>
      <c r="E37" s="16" t="s">
        <v>403</v>
      </c>
      <c r="F37" s="61">
        <f t="shared" si="3"/>
        <v>0</v>
      </c>
      <c r="G37" s="61">
        <f t="shared" si="3"/>
        <v>0</v>
      </c>
    </row>
    <row r="38" spans="1:7" ht="25.5">
      <c r="A38" s="1"/>
      <c r="B38" s="1"/>
      <c r="C38" s="22"/>
      <c r="D38" s="1" t="s">
        <v>191</v>
      </c>
      <c r="E38" s="16" t="s">
        <v>367</v>
      </c>
      <c r="F38" s="61">
        <f>F39+F40</f>
        <v>0</v>
      </c>
      <c r="G38" s="61">
        <f>G39+G40</f>
        <v>0</v>
      </c>
    </row>
    <row r="39" spans="1:7" ht="12.75">
      <c r="A39" s="1"/>
      <c r="B39" s="1"/>
      <c r="C39" s="606" t="s">
        <v>400</v>
      </c>
      <c r="D39" s="1"/>
      <c r="E39" s="16" t="s">
        <v>401</v>
      </c>
      <c r="F39" s="61">
        <v>-250</v>
      </c>
      <c r="G39" s="61">
        <v>-250</v>
      </c>
    </row>
    <row r="40" spans="1:7" ht="25.5">
      <c r="A40" s="1"/>
      <c r="B40" s="1"/>
      <c r="C40" s="607"/>
      <c r="D40" s="1"/>
      <c r="E40" s="16" t="s">
        <v>402</v>
      </c>
      <c r="F40" s="61">
        <v>250</v>
      </c>
      <c r="G40" s="61">
        <v>250</v>
      </c>
    </row>
    <row r="41" spans="1:7" ht="12.75">
      <c r="A41" s="1"/>
      <c r="B41" s="1" t="s">
        <v>50</v>
      </c>
      <c r="C41" s="424"/>
      <c r="D41" s="1"/>
      <c r="E41" s="16" t="s">
        <v>51</v>
      </c>
      <c r="F41" s="61">
        <f aca="true" t="shared" si="4" ref="F41:G45">F42</f>
        <v>397.5</v>
      </c>
      <c r="G41" s="61">
        <f t="shared" si="4"/>
        <v>397.5</v>
      </c>
    </row>
    <row r="42" spans="1:7" ht="12.75">
      <c r="A42" s="1"/>
      <c r="B42" s="1" t="s">
        <v>5</v>
      </c>
      <c r="C42" s="424"/>
      <c r="D42" s="1"/>
      <c r="E42" s="16" t="s">
        <v>53</v>
      </c>
      <c r="F42" s="61">
        <f t="shared" si="4"/>
        <v>397.5</v>
      </c>
      <c r="G42" s="61">
        <f t="shared" si="4"/>
        <v>397.5</v>
      </c>
    </row>
    <row r="43" spans="1:7" ht="12.75">
      <c r="A43" s="1"/>
      <c r="B43" s="1"/>
      <c r="C43" s="424" t="s">
        <v>356</v>
      </c>
      <c r="D43" s="1"/>
      <c r="E43" s="16" t="s">
        <v>358</v>
      </c>
      <c r="F43" s="61">
        <f t="shared" si="4"/>
        <v>397.5</v>
      </c>
      <c r="G43" s="61">
        <f t="shared" si="4"/>
        <v>397.5</v>
      </c>
    </row>
    <row r="44" spans="1:7" ht="25.5">
      <c r="A44" s="1"/>
      <c r="B44" s="1"/>
      <c r="C44" s="424" t="s">
        <v>357</v>
      </c>
      <c r="D44" s="1"/>
      <c r="E44" s="16" t="s">
        <v>359</v>
      </c>
      <c r="F44" s="61">
        <f t="shared" si="4"/>
        <v>397.5</v>
      </c>
      <c r="G44" s="61">
        <f t="shared" si="4"/>
        <v>397.5</v>
      </c>
    </row>
    <row r="45" spans="1:7" ht="25.5">
      <c r="A45" s="1"/>
      <c r="B45" s="1"/>
      <c r="C45" s="424"/>
      <c r="D45" s="1" t="s">
        <v>232</v>
      </c>
      <c r="E45" s="16" t="s">
        <v>403</v>
      </c>
      <c r="F45" s="61">
        <f t="shared" si="4"/>
        <v>397.5</v>
      </c>
      <c r="G45" s="61">
        <f t="shared" si="4"/>
        <v>397.5</v>
      </c>
    </row>
    <row r="46" spans="1:7" ht="12.75">
      <c r="A46" s="1"/>
      <c r="B46" s="1"/>
      <c r="C46" s="424"/>
      <c r="D46" s="1" t="s">
        <v>132</v>
      </c>
      <c r="E46" s="16" t="s">
        <v>251</v>
      </c>
      <c r="F46" s="61">
        <v>397.5</v>
      </c>
      <c r="G46" s="61">
        <v>397.5</v>
      </c>
    </row>
    <row r="47" spans="1:7" ht="25.5">
      <c r="A47" s="10" t="s">
        <v>143</v>
      </c>
      <c r="B47" s="10"/>
      <c r="C47" s="10"/>
      <c r="D47" s="10"/>
      <c r="E47" s="15" t="s">
        <v>224</v>
      </c>
      <c r="F47" s="66">
        <f>F48</f>
        <v>-12211</v>
      </c>
      <c r="G47" s="66">
        <f>G48</f>
        <v>-16422.8</v>
      </c>
    </row>
    <row r="48" spans="1:7" ht="12.75">
      <c r="A48" s="1"/>
      <c r="B48" s="1" t="s">
        <v>50</v>
      </c>
      <c r="C48" s="1"/>
      <c r="D48" s="1"/>
      <c r="E48" s="16" t="s">
        <v>51</v>
      </c>
      <c r="F48" s="61">
        <f>F49</f>
        <v>-12211</v>
      </c>
      <c r="G48" s="61">
        <f>G49</f>
        <v>-16422.8</v>
      </c>
    </row>
    <row r="49" spans="1:7" ht="12.75">
      <c r="A49" s="1"/>
      <c r="B49" s="1" t="s">
        <v>12</v>
      </c>
      <c r="C49" s="1"/>
      <c r="D49" s="1"/>
      <c r="E49" s="16" t="s">
        <v>52</v>
      </c>
      <c r="F49" s="61">
        <f>F50+F54</f>
        <v>-12211</v>
      </c>
      <c r="G49" s="61">
        <f>G50+G54</f>
        <v>-16422.8</v>
      </c>
    </row>
    <row r="50" spans="1:7" ht="12.75">
      <c r="A50" s="1"/>
      <c r="B50" s="1"/>
      <c r="C50" s="22" t="s">
        <v>110</v>
      </c>
      <c r="D50" s="22"/>
      <c r="E50" s="23" t="s">
        <v>111</v>
      </c>
      <c r="F50" s="61">
        <f aca="true" t="shared" si="5" ref="F50:G52">F51</f>
        <v>13863.2</v>
      </c>
      <c r="G50" s="61">
        <f t="shared" si="5"/>
        <v>13863.2</v>
      </c>
    </row>
    <row r="51" spans="1:7" ht="25.5">
      <c r="A51" s="1"/>
      <c r="B51" s="1"/>
      <c r="C51" s="1" t="s">
        <v>196</v>
      </c>
      <c r="D51" s="1"/>
      <c r="E51" s="48" t="s">
        <v>250</v>
      </c>
      <c r="F51" s="61">
        <f t="shared" si="5"/>
        <v>13863.2</v>
      </c>
      <c r="G51" s="61">
        <f t="shared" si="5"/>
        <v>13863.2</v>
      </c>
    </row>
    <row r="52" spans="1:7" ht="27.75" customHeight="1">
      <c r="A52" s="1"/>
      <c r="B52" s="1"/>
      <c r="C52" s="1"/>
      <c r="D52" s="1" t="s">
        <v>232</v>
      </c>
      <c r="E52" s="48" t="s">
        <v>403</v>
      </c>
      <c r="F52" s="61">
        <f t="shared" si="5"/>
        <v>13863.2</v>
      </c>
      <c r="G52" s="61">
        <f t="shared" si="5"/>
        <v>13863.2</v>
      </c>
    </row>
    <row r="53" spans="1:7" ht="12.75">
      <c r="A53" s="1"/>
      <c r="B53" s="1"/>
      <c r="C53" s="1"/>
      <c r="D53" s="1" t="s">
        <v>132</v>
      </c>
      <c r="E53" s="16" t="s">
        <v>251</v>
      </c>
      <c r="F53" s="61">
        <v>13863.2</v>
      </c>
      <c r="G53" s="61">
        <v>13863.2</v>
      </c>
    </row>
    <row r="54" spans="1:7" ht="12.75">
      <c r="A54" s="1"/>
      <c r="B54" s="1"/>
      <c r="C54" s="1" t="s">
        <v>376</v>
      </c>
      <c r="D54" s="1"/>
      <c r="E54" s="16" t="s">
        <v>379</v>
      </c>
      <c r="F54" s="61">
        <f>F55</f>
        <v>-26074.2</v>
      </c>
      <c r="G54" s="61">
        <f>G55</f>
        <v>-30286</v>
      </c>
    </row>
    <row r="55" spans="1:7" ht="25.5">
      <c r="A55" s="1"/>
      <c r="B55" s="1"/>
      <c r="C55" s="1" t="s">
        <v>377</v>
      </c>
      <c r="D55" s="1"/>
      <c r="E55" s="16" t="s">
        <v>380</v>
      </c>
      <c r="F55" s="61">
        <f>F56+F58</f>
        <v>-26074.2</v>
      </c>
      <c r="G55" s="61">
        <f>G56+G58</f>
        <v>-30286</v>
      </c>
    </row>
    <row r="56" spans="1:7" ht="12.75">
      <c r="A56" s="1"/>
      <c r="B56" s="1"/>
      <c r="C56" s="1"/>
      <c r="D56" s="1" t="s">
        <v>210</v>
      </c>
      <c r="E56" s="16" t="s">
        <v>211</v>
      </c>
      <c r="F56" s="61">
        <f>F57</f>
        <v>-258.2</v>
      </c>
      <c r="G56" s="61">
        <f>G57</f>
        <v>-299.6</v>
      </c>
    </row>
    <row r="57" spans="1:7" ht="12.75">
      <c r="A57" s="1"/>
      <c r="B57" s="1"/>
      <c r="C57" s="1"/>
      <c r="D57" s="1" t="s">
        <v>8</v>
      </c>
      <c r="E57" s="16" t="s">
        <v>216</v>
      </c>
      <c r="F57" s="61">
        <v>-258.2</v>
      </c>
      <c r="G57" s="61">
        <v>-299.6</v>
      </c>
    </row>
    <row r="58" spans="1:7" ht="12.75">
      <c r="A58" s="1"/>
      <c r="B58" s="1"/>
      <c r="C58" s="1"/>
      <c r="D58" s="1" t="s">
        <v>225</v>
      </c>
      <c r="E58" s="16" t="s">
        <v>226</v>
      </c>
      <c r="F58" s="61">
        <f>F59</f>
        <v>-25816</v>
      </c>
      <c r="G58" s="61">
        <f>G59</f>
        <v>-29986.4</v>
      </c>
    </row>
    <row r="59" spans="1:7" ht="12.75">
      <c r="A59" s="1"/>
      <c r="B59" s="1"/>
      <c r="C59" s="1"/>
      <c r="D59" s="1" t="s">
        <v>378</v>
      </c>
      <c r="E59" s="16" t="s">
        <v>381</v>
      </c>
      <c r="F59" s="61">
        <v>-25816</v>
      </c>
      <c r="G59" s="61">
        <v>-29986.4</v>
      </c>
    </row>
    <row r="60" spans="1:8" s="67" customFormat="1" ht="12.75">
      <c r="A60" s="69"/>
      <c r="B60" s="69"/>
      <c r="C60" s="58"/>
      <c r="D60" s="10"/>
      <c r="E60" s="15" t="s">
        <v>0</v>
      </c>
      <c r="F60" s="66">
        <f>F8+F16+F24+F32+F47</f>
        <v>-10432.767</v>
      </c>
      <c r="G60" s="66">
        <f>G8+G16+G24+G32+G47</f>
        <v>-23054.746</v>
      </c>
      <c r="H60" s="4"/>
    </row>
  </sheetData>
  <sheetProtection/>
  <mergeCells count="11">
    <mergeCell ref="A3:B3"/>
    <mergeCell ref="C3:D3"/>
    <mergeCell ref="E3:F3"/>
    <mergeCell ref="C39:C40"/>
    <mergeCell ref="A4:G4"/>
    <mergeCell ref="A1:B1"/>
    <mergeCell ref="C1:D1"/>
    <mergeCell ref="E1:F1"/>
    <mergeCell ref="A2:B2"/>
    <mergeCell ref="C2:D2"/>
    <mergeCell ref="E2:F2"/>
  </mergeCells>
  <printOptions/>
  <pageMargins left="0.1968503937007874" right="0" top="0.1968503937007874" bottom="0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.28125" style="190" customWidth="1"/>
    <col min="2" max="2" width="48.28125" style="177" customWidth="1"/>
    <col min="3" max="3" width="10.7109375" style="86" customWidth="1"/>
    <col min="4" max="4" width="10.421875" style="86" customWidth="1"/>
    <col min="5" max="5" width="10.7109375" style="86" customWidth="1"/>
    <col min="6" max="6" width="9.28125" style="102" customWidth="1"/>
    <col min="7" max="16384" width="9.140625" style="102" customWidth="1"/>
  </cols>
  <sheetData>
    <row r="1" spans="1:6" ht="12.75">
      <c r="A1" s="11"/>
      <c r="D1" s="575" t="s">
        <v>1188</v>
      </c>
      <c r="E1" s="575"/>
      <c r="F1" s="575"/>
    </row>
    <row r="2" spans="1:6" ht="12.75">
      <c r="A2" s="11"/>
      <c r="B2" s="178"/>
      <c r="D2" s="575" t="s">
        <v>695</v>
      </c>
      <c r="E2" s="575"/>
      <c r="F2" s="575"/>
    </row>
    <row r="3" spans="1:6" ht="12.75">
      <c r="A3" s="11"/>
      <c r="D3" s="575" t="s">
        <v>1209</v>
      </c>
      <c r="E3" s="575"/>
      <c r="F3" s="575"/>
    </row>
    <row r="4" spans="1:6" ht="12.75">
      <c r="A4" s="11"/>
      <c r="F4" s="86"/>
    </row>
    <row r="5" spans="1:6" ht="32.25" customHeight="1">
      <c r="A5" s="596" t="s">
        <v>696</v>
      </c>
      <c r="B5" s="596"/>
      <c r="C5" s="596"/>
      <c r="D5" s="596"/>
      <c r="E5" s="596"/>
      <c r="F5" s="596"/>
    </row>
    <row r="6" spans="1:5" ht="12.75">
      <c r="A6" s="11"/>
      <c r="C6" s="179"/>
      <c r="D6" s="179"/>
      <c r="E6" s="179"/>
    </row>
    <row r="7" spans="1:6" ht="22.5">
      <c r="A7" s="180"/>
      <c r="B7" s="181" t="s">
        <v>697</v>
      </c>
      <c r="C7" s="182" t="s">
        <v>698</v>
      </c>
      <c r="D7" s="183" t="s">
        <v>699</v>
      </c>
      <c r="E7" s="183" t="s">
        <v>700</v>
      </c>
      <c r="F7" s="184" t="s">
        <v>701</v>
      </c>
    </row>
    <row r="8" spans="1:6" ht="30">
      <c r="A8" s="185">
        <v>1</v>
      </c>
      <c r="B8" s="547" t="s">
        <v>702</v>
      </c>
      <c r="C8" s="543">
        <f aca="true" t="shared" si="0" ref="C8:C18">D8+E8+F8</f>
        <v>3831</v>
      </c>
      <c r="D8" s="543"/>
      <c r="E8" s="544">
        <v>3831</v>
      </c>
      <c r="F8" s="544"/>
    </row>
    <row r="9" spans="1:6" ht="50.25" customHeight="1">
      <c r="A9" s="185">
        <v>2</v>
      </c>
      <c r="B9" s="547" t="s">
        <v>703</v>
      </c>
      <c r="C9" s="543">
        <f t="shared" si="0"/>
        <v>1584</v>
      </c>
      <c r="D9" s="544"/>
      <c r="E9" s="544">
        <f>1440+144</f>
        <v>1584</v>
      </c>
      <c r="F9" s="543"/>
    </row>
    <row r="10" spans="1:6" ht="30">
      <c r="A10" s="185">
        <v>3</v>
      </c>
      <c r="B10" s="547" t="s">
        <v>704</v>
      </c>
      <c r="C10" s="543">
        <f t="shared" si="0"/>
        <v>1650</v>
      </c>
      <c r="D10" s="544"/>
      <c r="E10" s="544">
        <v>1650</v>
      </c>
      <c r="F10" s="543"/>
    </row>
    <row r="11" spans="1:6" ht="63" customHeight="1">
      <c r="A11" s="185">
        <v>4</v>
      </c>
      <c r="B11" s="547" t="s">
        <v>705</v>
      </c>
      <c r="C11" s="543">
        <f t="shared" si="0"/>
        <v>366</v>
      </c>
      <c r="D11" s="544"/>
      <c r="E11" s="544">
        <f>36+130+200</f>
        <v>366</v>
      </c>
      <c r="F11" s="543"/>
    </row>
    <row r="12" spans="1:6" ht="30">
      <c r="A12" s="185">
        <v>5</v>
      </c>
      <c r="B12" s="547" t="s">
        <v>220</v>
      </c>
      <c r="C12" s="543">
        <f t="shared" si="0"/>
        <v>146066.793</v>
      </c>
      <c r="D12" s="544">
        <f>70530.3+4350+3238+4377.893</f>
        <v>82496.193</v>
      </c>
      <c r="E12" s="544">
        <f>59716.7+1970+2450-3238-4595.6+7267.5</f>
        <v>63570.6</v>
      </c>
      <c r="F12" s="543"/>
    </row>
    <row r="13" spans="1:6" ht="30">
      <c r="A13" s="185">
        <v>6</v>
      </c>
      <c r="B13" s="547" t="s">
        <v>355</v>
      </c>
      <c r="C13" s="543">
        <f t="shared" si="0"/>
        <v>59109.365</v>
      </c>
      <c r="D13" s="544">
        <f>2085+2915.001+5202.178+10532.586+16214.1</f>
        <v>36948.865</v>
      </c>
      <c r="E13" s="544">
        <f>8910.5+12000+1250</f>
        <v>22160.5</v>
      </c>
      <c r="F13" s="543"/>
    </row>
    <row r="14" spans="1:6" ht="60">
      <c r="A14" s="185">
        <v>7</v>
      </c>
      <c r="B14" s="547" t="s">
        <v>706</v>
      </c>
      <c r="C14" s="543">
        <f t="shared" si="0"/>
        <v>9016.4</v>
      </c>
      <c r="D14" s="544">
        <f>156.1+160</f>
        <v>316.1</v>
      </c>
      <c r="E14" s="544">
        <f>7994.4+129.7+576.2</f>
        <v>8700.3</v>
      </c>
      <c r="F14" s="543"/>
    </row>
    <row r="15" spans="1:6" ht="45">
      <c r="A15" s="185">
        <v>8</v>
      </c>
      <c r="B15" s="547" t="s">
        <v>707</v>
      </c>
      <c r="C15" s="543">
        <f t="shared" si="0"/>
        <v>11352.96</v>
      </c>
      <c r="D15" s="544">
        <v>2637.75</v>
      </c>
      <c r="E15" s="544"/>
      <c r="F15" s="543">
        <f>6617.25+1024.38+1073.58</f>
        <v>8715.21</v>
      </c>
    </row>
    <row r="16" spans="1:6" ht="30" customHeight="1">
      <c r="A16" s="185">
        <v>9</v>
      </c>
      <c r="B16" s="547" t="s">
        <v>708</v>
      </c>
      <c r="C16" s="543">
        <f t="shared" si="0"/>
        <v>10934.159</v>
      </c>
      <c r="D16" s="544">
        <f>333.18+948.45+2737.006</f>
        <v>4018.636</v>
      </c>
      <c r="E16" s="544"/>
      <c r="F16" s="543">
        <f>5900.628-158.524+1287.419-114</f>
        <v>6915.522999999999</v>
      </c>
    </row>
    <row r="17" spans="1:6" ht="32.25" customHeight="1">
      <c r="A17" s="185">
        <v>10</v>
      </c>
      <c r="B17" s="547" t="s">
        <v>709</v>
      </c>
      <c r="C17" s="543">
        <f t="shared" si="0"/>
        <v>245.3</v>
      </c>
      <c r="D17" s="544"/>
      <c r="E17" s="544">
        <v>245.3</v>
      </c>
      <c r="F17" s="543"/>
    </row>
    <row r="18" spans="1:6" ht="44.25" customHeight="1">
      <c r="A18" s="185">
        <v>11</v>
      </c>
      <c r="B18" s="547" t="s">
        <v>710</v>
      </c>
      <c r="C18" s="543">
        <f t="shared" si="0"/>
        <v>5180</v>
      </c>
      <c r="D18" s="544"/>
      <c r="E18" s="544">
        <f>1000+60+4120</f>
        <v>5180</v>
      </c>
      <c r="F18" s="543"/>
    </row>
    <row r="19" spans="1:6" ht="15">
      <c r="A19" s="185"/>
      <c r="B19" s="186" t="s">
        <v>711</v>
      </c>
      <c r="C19" s="545">
        <f>D19+E19+F19</f>
        <v>249335.977</v>
      </c>
      <c r="D19" s="546">
        <f>SUM(D8:D18)</f>
        <v>126417.544</v>
      </c>
      <c r="E19" s="546">
        <f>SUM(E8:E18)</f>
        <v>107287.70000000001</v>
      </c>
      <c r="F19" s="546">
        <f>SUM(F8:F18)</f>
        <v>15630.732999999998</v>
      </c>
    </row>
    <row r="20" spans="1:6" ht="15">
      <c r="A20" s="14"/>
      <c r="B20" s="187"/>
      <c r="C20" s="188"/>
      <c r="D20" s="189"/>
      <c r="E20" s="189"/>
      <c r="F20" s="189"/>
    </row>
  </sheetData>
  <sheetProtection/>
  <mergeCells count="4">
    <mergeCell ref="A5:F5"/>
    <mergeCell ref="D1:F1"/>
    <mergeCell ref="D2:F2"/>
    <mergeCell ref="D3:F3"/>
  </mergeCells>
  <printOptions/>
  <pageMargins left="0.5905511811023623" right="0" top="0.5905511811023623" bottom="0.196850393700787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00390625" style="315" customWidth="1"/>
    <col min="2" max="2" width="38.8515625" style="243" customWidth="1"/>
    <col min="3" max="3" width="11.140625" style="243" customWidth="1"/>
    <col min="4" max="4" width="10.8515625" style="243" customWidth="1"/>
    <col min="5" max="5" width="11.00390625" style="243" customWidth="1"/>
    <col min="6" max="6" width="11.28125" style="243" customWidth="1"/>
    <col min="7" max="7" width="11.00390625" style="243" customWidth="1"/>
    <col min="8" max="16384" width="9.140625" style="243" customWidth="1"/>
  </cols>
  <sheetData>
    <row r="1" spans="1:7" ht="12.75">
      <c r="A1" s="241"/>
      <c r="B1" s="242"/>
      <c r="E1" s="616" t="s">
        <v>975</v>
      </c>
      <c r="F1" s="616"/>
      <c r="G1" s="616"/>
    </row>
    <row r="2" spans="1:7" ht="12.75">
      <c r="A2" s="241"/>
      <c r="B2" s="242"/>
      <c r="E2" s="616" t="s">
        <v>665</v>
      </c>
      <c r="F2" s="616"/>
      <c r="G2" s="616"/>
    </row>
    <row r="3" spans="1:7" ht="12.75">
      <c r="A3" s="241"/>
      <c r="B3" s="242"/>
      <c r="E3" s="616" t="s">
        <v>1210</v>
      </c>
      <c r="F3" s="616"/>
      <c r="G3" s="616"/>
    </row>
    <row r="4" spans="1:2" ht="12.75">
      <c r="A4" s="241"/>
      <c r="B4" s="242"/>
    </row>
    <row r="5" spans="1:7" ht="18.75" customHeight="1">
      <c r="A5" s="244"/>
      <c r="B5" s="617" t="s">
        <v>831</v>
      </c>
      <c r="C5" s="617"/>
      <c r="D5" s="617"/>
      <c r="E5" s="617"/>
      <c r="F5" s="617"/>
      <c r="G5" s="617"/>
    </row>
    <row r="6" spans="1:7" ht="12.75">
      <c r="A6" s="244"/>
      <c r="B6" s="245"/>
      <c r="C6" s="246"/>
      <c r="D6" s="246"/>
      <c r="E6" s="246"/>
      <c r="F6" s="246"/>
      <c r="G6" s="246"/>
    </row>
    <row r="7" spans="1:7" ht="12.75" customHeight="1">
      <c r="A7" s="618" t="s">
        <v>747</v>
      </c>
      <c r="B7" s="618" t="s">
        <v>832</v>
      </c>
      <c r="C7" s="620" t="s">
        <v>833</v>
      </c>
      <c r="D7" s="612" t="s">
        <v>834</v>
      </c>
      <c r="E7" s="612"/>
      <c r="F7" s="612"/>
      <c r="G7" s="612"/>
    </row>
    <row r="8" spans="1:7" s="248" customFormat="1" ht="22.5">
      <c r="A8" s="619"/>
      <c r="B8" s="619"/>
      <c r="C8" s="620"/>
      <c r="D8" s="247" t="s">
        <v>699</v>
      </c>
      <c r="E8" s="247" t="s">
        <v>835</v>
      </c>
      <c r="F8" s="247" t="s">
        <v>700</v>
      </c>
      <c r="G8" s="247" t="s">
        <v>836</v>
      </c>
    </row>
    <row r="9" spans="1:7" s="248" customFormat="1" ht="15.75" customHeight="1">
      <c r="A9" s="613" t="s">
        <v>752</v>
      </c>
      <c r="B9" s="614"/>
      <c r="C9" s="614"/>
      <c r="D9" s="614"/>
      <c r="E9" s="614"/>
      <c r="F9" s="614"/>
      <c r="G9" s="615"/>
    </row>
    <row r="10" spans="1:7" ht="25.5" customHeight="1">
      <c r="A10" s="249" t="s">
        <v>837</v>
      </c>
      <c r="B10" s="250" t="s">
        <v>838</v>
      </c>
      <c r="C10" s="251">
        <f>D10+F10+G10+E10</f>
        <v>500230.698</v>
      </c>
      <c r="D10" s="251">
        <f>D11+D77+D62+D56</f>
        <v>210962.283</v>
      </c>
      <c r="E10" s="251">
        <f>E11+E77+E62+E56</f>
        <v>15062.8</v>
      </c>
      <c r="F10" s="251">
        <f>F11+F77+F62+F56</f>
        <v>212871.495</v>
      </c>
      <c r="G10" s="251">
        <f>G11+G77+G62+G56</f>
        <v>61334.12</v>
      </c>
    </row>
    <row r="11" spans="1:7" ht="25.5">
      <c r="A11" s="252"/>
      <c r="B11" s="253" t="s">
        <v>839</v>
      </c>
      <c r="C11" s="254">
        <f>D11+F11+G11+E11</f>
        <v>223048.098</v>
      </c>
      <c r="D11" s="255">
        <f>D14+D27+D40+D12+D53+D38</f>
        <v>63100.483</v>
      </c>
      <c r="E11" s="255">
        <f>E14+E27+E40+E12+E53+E38</f>
        <v>15062.8</v>
      </c>
      <c r="F11" s="255">
        <f>F14+F27+F40+F12+F53+F38</f>
        <v>93167.995</v>
      </c>
      <c r="G11" s="255">
        <f>G14+G27+G40+G12+G53+G38</f>
        <v>51716.82</v>
      </c>
    </row>
    <row r="12" spans="1:7" ht="25.5">
      <c r="A12" s="256"/>
      <c r="B12" s="257" t="s">
        <v>840</v>
      </c>
      <c r="C12" s="553">
        <f>C13</f>
        <v>22500</v>
      </c>
      <c r="D12" s="553">
        <f>D13</f>
        <v>0</v>
      </c>
      <c r="E12" s="553">
        <f>E13</f>
        <v>0</v>
      </c>
      <c r="F12" s="553">
        <f>F13</f>
        <v>0</v>
      </c>
      <c r="G12" s="553">
        <f>G13</f>
        <v>22500</v>
      </c>
    </row>
    <row r="13" spans="1:7" ht="27" customHeight="1">
      <c r="A13" s="256">
        <v>1</v>
      </c>
      <c r="B13" s="259" t="s">
        <v>841</v>
      </c>
      <c r="C13" s="416">
        <f aca="true" t="shared" si="0" ref="C13:C26">D13+F13+G13+E13</f>
        <v>22500</v>
      </c>
      <c r="D13" s="416">
        <v>0</v>
      </c>
      <c r="E13" s="416">
        <v>0</v>
      </c>
      <c r="F13" s="416">
        <v>0</v>
      </c>
      <c r="G13" s="554">
        <f>15000+7500</f>
        <v>22500</v>
      </c>
    </row>
    <row r="14" spans="1:7" ht="12.75">
      <c r="A14" s="256"/>
      <c r="B14" s="257" t="s">
        <v>842</v>
      </c>
      <c r="C14" s="416">
        <f>D14+F14+G14+E14</f>
        <v>58600.59</v>
      </c>
      <c r="D14" s="554">
        <f>SUM(D15:D26)</f>
        <v>15725.49</v>
      </c>
      <c r="E14" s="554">
        <f>SUM(E15:E26)</f>
        <v>15062.8</v>
      </c>
      <c r="F14" s="554">
        <f>SUM(F15:F26)</f>
        <v>298.9</v>
      </c>
      <c r="G14" s="554">
        <f>SUM(G15:G26)</f>
        <v>27513.4</v>
      </c>
    </row>
    <row r="15" spans="1:7" ht="38.25">
      <c r="A15" s="256">
        <v>2</v>
      </c>
      <c r="B15" s="119" t="s">
        <v>843</v>
      </c>
      <c r="C15" s="416">
        <f t="shared" si="0"/>
        <v>4534</v>
      </c>
      <c r="D15" s="416">
        <v>0</v>
      </c>
      <c r="E15" s="416">
        <v>1360.2</v>
      </c>
      <c r="F15" s="554">
        <v>0</v>
      </c>
      <c r="G15" s="554">
        <f>500+2673.8</f>
        <v>3173.8</v>
      </c>
    </row>
    <row r="16" spans="1:7" ht="29.25" customHeight="1">
      <c r="A16" s="256">
        <v>3</v>
      </c>
      <c r="B16" s="196" t="s">
        <v>844</v>
      </c>
      <c r="C16" s="416">
        <f t="shared" si="0"/>
        <v>298.9</v>
      </c>
      <c r="D16" s="416">
        <v>0</v>
      </c>
      <c r="E16" s="416">
        <v>0</v>
      </c>
      <c r="F16" s="416">
        <v>298.9</v>
      </c>
      <c r="G16" s="554">
        <v>0</v>
      </c>
    </row>
    <row r="17" spans="1:7" ht="25.5">
      <c r="A17" s="256">
        <v>4</v>
      </c>
      <c r="B17" s="259" t="s">
        <v>845</v>
      </c>
      <c r="C17" s="416">
        <f t="shared" si="0"/>
        <v>2435</v>
      </c>
      <c r="D17" s="416">
        <v>0</v>
      </c>
      <c r="E17" s="416">
        <v>720</v>
      </c>
      <c r="F17" s="416">
        <f>1260-1260</f>
        <v>0</v>
      </c>
      <c r="G17" s="554">
        <f>420+1260+35</f>
        <v>1715</v>
      </c>
    </row>
    <row r="18" spans="1:7" ht="38.25">
      <c r="A18" s="273">
        <v>5</v>
      </c>
      <c r="B18" s="262" t="s">
        <v>1147</v>
      </c>
      <c r="C18" s="416">
        <f t="shared" si="0"/>
        <v>1531</v>
      </c>
      <c r="D18" s="416">
        <v>0</v>
      </c>
      <c r="E18" s="416">
        <v>459.3</v>
      </c>
      <c r="F18" s="416">
        <f>801.7-801.7</f>
        <v>0</v>
      </c>
      <c r="G18" s="554">
        <f>270+801.7</f>
        <v>1071.7</v>
      </c>
    </row>
    <row r="19" spans="1:7" ht="38.25">
      <c r="A19" s="273">
        <v>6</v>
      </c>
      <c r="B19" s="262" t="s">
        <v>847</v>
      </c>
      <c r="C19" s="416">
        <f t="shared" si="0"/>
        <v>22000</v>
      </c>
      <c r="D19" s="416">
        <v>12750</v>
      </c>
      <c r="E19" s="416">
        <v>5000</v>
      </c>
      <c r="F19" s="416">
        <f>2050-2050</f>
        <v>0</v>
      </c>
      <c r="G19" s="554">
        <f>2200+2050</f>
        <v>4250</v>
      </c>
    </row>
    <row r="20" spans="1:7" ht="25.5">
      <c r="A20" s="273">
        <v>7</v>
      </c>
      <c r="B20" s="262" t="s">
        <v>848</v>
      </c>
      <c r="C20" s="416">
        <f t="shared" si="0"/>
        <v>4100</v>
      </c>
      <c r="D20" s="416">
        <v>0</v>
      </c>
      <c r="E20" s="416">
        <v>1230</v>
      </c>
      <c r="F20" s="416">
        <f>2152-2152</f>
        <v>0</v>
      </c>
      <c r="G20" s="554">
        <f>718+2152</f>
        <v>2870</v>
      </c>
    </row>
    <row r="21" spans="1:7" ht="30.75" customHeight="1">
      <c r="A21" s="273">
        <v>8</v>
      </c>
      <c r="B21" s="262" t="s">
        <v>1148</v>
      </c>
      <c r="C21" s="416">
        <f t="shared" si="0"/>
        <v>4311</v>
      </c>
      <c r="D21" s="416">
        <v>0</v>
      </c>
      <c r="E21" s="416">
        <v>1293.3</v>
      </c>
      <c r="F21" s="416">
        <f>1940.7-1940.7</f>
        <v>0</v>
      </c>
      <c r="G21" s="554">
        <f>1077+1940.7</f>
        <v>3017.7</v>
      </c>
    </row>
    <row r="22" spans="1:7" ht="38.25">
      <c r="A22" s="273">
        <v>9</v>
      </c>
      <c r="B22" s="262" t="s">
        <v>1149</v>
      </c>
      <c r="C22" s="416">
        <f t="shared" si="0"/>
        <v>11000</v>
      </c>
      <c r="D22" s="416">
        <v>0</v>
      </c>
      <c r="E22" s="416">
        <v>5000</v>
      </c>
      <c r="F22" s="416">
        <v>0</v>
      </c>
      <c r="G22" s="554">
        <v>6000</v>
      </c>
    </row>
    <row r="23" spans="1:7" ht="38.25">
      <c r="A23" s="273">
        <v>10</v>
      </c>
      <c r="B23" s="262" t="s">
        <v>850</v>
      </c>
      <c r="C23" s="416">
        <f t="shared" si="0"/>
        <v>800</v>
      </c>
      <c r="D23" s="416">
        <v>0</v>
      </c>
      <c r="E23" s="416">
        <v>0</v>
      </c>
      <c r="F23" s="416">
        <v>0</v>
      </c>
      <c r="G23" s="554">
        <v>800</v>
      </c>
    </row>
    <row r="24" spans="1:7" ht="25.5">
      <c r="A24" s="273">
        <v>11</v>
      </c>
      <c r="B24" s="262" t="s">
        <v>851</v>
      </c>
      <c r="C24" s="416">
        <f t="shared" si="0"/>
        <v>4545.3</v>
      </c>
      <c r="D24" s="416">
        <v>0</v>
      </c>
      <c r="E24" s="416">
        <v>0</v>
      </c>
      <c r="F24" s="416">
        <v>0</v>
      </c>
      <c r="G24" s="554">
        <v>4545.3</v>
      </c>
    </row>
    <row r="25" spans="1:7" ht="25.5">
      <c r="A25" s="273">
        <v>12</v>
      </c>
      <c r="B25" s="262" t="s">
        <v>104</v>
      </c>
      <c r="C25" s="416">
        <f t="shared" si="0"/>
        <v>69.9</v>
      </c>
      <c r="D25" s="416">
        <v>0</v>
      </c>
      <c r="E25" s="416">
        <v>0</v>
      </c>
      <c r="F25" s="416">
        <v>0</v>
      </c>
      <c r="G25" s="554">
        <v>69.9</v>
      </c>
    </row>
    <row r="26" spans="1:7" ht="25.5">
      <c r="A26" s="273">
        <v>13</v>
      </c>
      <c r="B26" s="49" t="s">
        <v>1150</v>
      </c>
      <c r="C26" s="416">
        <f t="shared" si="0"/>
        <v>2975.49</v>
      </c>
      <c r="D26" s="416">
        <v>2975.49</v>
      </c>
      <c r="E26" s="416">
        <v>0</v>
      </c>
      <c r="F26" s="416">
        <v>0</v>
      </c>
      <c r="G26" s="416">
        <v>0</v>
      </c>
    </row>
    <row r="27" spans="1:7" ht="12.75">
      <c r="A27" s="273"/>
      <c r="B27" s="263" t="s">
        <v>852</v>
      </c>
      <c r="C27" s="416">
        <f>D27+E27+F27+G27</f>
        <v>70268.714</v>
      </c>
      <c r="D27" s="416">
        <f>D29+D31+D32+D33+D30+D34+D35+D28+D36+D37</f>
        <v>29250</v>
      </c>
      <c r="E27" s="416">
        <f>E29+E31+E32+E33+E30+E34+E35+E28+E36+E37</f>
        <v>0</v>
      </c>
      <c r="F27" s="416">
        <f>F29+F31+F32+F33+F30+F34+F35+F28+F36+F37</f>
        <v>41018.714</v>
      </c>
      <c r="G27" s="416">
        <f>G29+G31+G32+G33+G30+G34+G35+G28+G36</f>
        <v>0</v>
      </c>
    </row>
    <row r="28" spans="1:7" ht="25.5">
      <c r="A28" s="281">
        <v>14</v>
      </c>
      <c r="B28" s="266" t="s">
        <v>853</v>
      </c>
      <c r="C28" s="534">
        <f>D28+F28</f>
        <v>19478.087</v>
      </c>
      <c r="D28" s="534">
        <v>0</v>
      </c>
      <c r="E28" s="416">
        <v>0</v>
      </c>
      <c r="F28" s="534">
        <f>18750+728.087</f>
        <v>19478.087</v>
      </c>
      <c r="G28" s="416">
        <v>0</v>
      </c>
    </row>
    <row r="29" spans="1:7" ht="25.5">
      <c r="A29" s="281">
        <v>15</v>
      </c>
      <c r="B29" s="267" t="s">
        <v>854</v>
      </c>
      <c r="C29" s="416">
        <f aca="true" t="shared" si="1" ref="C29:C37">D29+F29+G29</f>
        <v>39000</v>
      </c>
      <c r="D29" s="416">
        <v>29250</v>
      </c>
      <c r="E29" s="416">
        <v>0</v>
      </c>
      <c r="F29" s="416">
        <v>9750</v>
      </c>
      <c r="G29" s="416">
        <v>0</v>
      </c>
    </row>
    <row r="30" spans="1:7" ht="12.75">
      <c r="A30" s="281">
        <v>16</v>
      </c>
      <c r="B30" s="262" t="s">
        <v>855</v>
      </c>
      <c r="C30" s="416">
        <f t="shared" si="1"/>
        <v>2000</v>
      </c>
      <c r="D30" s="416">
        <v>0</v>
      </c>
      <c r="E30" s="416">
        <v>0</v>
      </c>
      <c r="F30" s="416">
        <v>2000</v>
      </c>
      <c r="G30" s="554">
        <v>0</v>
      </c>
    </row>
    <row r="31" spans="1:7" ht="12.75">
      <c r="A31" s="265">
        <v>17</v>
      </c>
      <c r="B31" s="268" t="s">
        <v>856</v>
      </c>
      <c r="C31" s="416">
        <f t="shared" si="1"/>
        <v>2500</v>
      </c>
      <c r="D31" s="416">
        <v>0</v>
      </c>
      <c r="E31" s="416">
        <v>0</v>
      </c>
      <c r="F31" s="416">
        <v>2500</v>
      </c>
      <c r="G31" s="554">
        <v>0</v>
      </c>
    </row>
    <row r="32" spans="1:7" ht="25.5">
      <c r="A32" s="265">
        <v>18</v>
      </c>
      <c r="B32" s="269" t="s">
        <v>857</v>
      </c>
      <c r="C32" s="416">
        <f t="shared" si="1"/>
        <v>1200</v>
      </c>
      <c r="D32" s="416">
        <v>0</v>
      </c>
      <c r="E32" s="416">
        <v>0</v>
      </c>
      <c r="F32" s="416">
        <v>1200</v>
      </c>
      <c r="G32" s="554">
        <v>0</v>
      </c>
    </row>
    <row r="33" spans="1:7" ht="13.5" customHeight="1">
      <c r="A33" s="265">
        <v>19</v>
      </c>
      <c r="B33" s="262" t="s">
        <v>858</v>
      </c>
      <c r="C33" s="416">
        <f t="shared" si="1"/>
        <v>1200</v>
      </c>
      <c r="D33" s="416">
        <v>0</v>
      </c>
      <c r="E33" s="416">
        <v>0</v>
      </c>
      <c r="F33" s="416">
        <v>1200</v>
      </c>
      <c r="G33" s="554">
        <v>0</v>
      </c>
    </row>
    <row r="34" spans="1:7" ht="12" customHeight="1">
      <c r="A34" s="281">
        <v>20</v>
      </c>
      <c r="B34" s="270" t="s">
        <v>859</v>
      </c>
      <c r="C34" s="416">
        <f t="shared" si="1"/>
        <v>856.627</v>
      </c>
      <c r="D34" s="416">
        <v>0</v>
      </c>
      <c r="E34" s="416">
        <v>0</v>
      </c>
      <c r="F34" s="416">
        <f>40+816.627</f>
        <v>856.627</v>
      </c>
      <c r="G34" s="554">
        <v>0</v>
      </c>
    </row>
    <row r="35" spans="1:7" ht="25.5">
      <c r="A35" s="281">
        <v>21</v>
      </c>
      <c r="B35" s="270" t="s">
        <v>1151</v>
      </c>
      <c r="C35" s="416">
        <f t="shared" si="1"/>
        <v>34</v>
      </c>
      <c r="D35" s="416">
        <v>0</v>
      </c>
      <c r="E35" s="416">
        <f>E42+E43+E44+E45+E46</f>
        <v>0</v>
      </c>
      <c r="F35" s="416">
        <v>34</v>
      </c>
      <c r="G35" s="554">
        <v>0</v>
      </c>
    </row>
    <row r="36" spans="1:7" ht="12.75">
      <c r="A36" s="281">
        <v>22</v>
      </c>
      <c r="B36" s="270" t="s">
        <v>1152</v>
      </c>
      <c r="C36" s="416">
        <f t="shared" si="1"/>
        <v>2000</v>
      </c>
      <c r="D36" s="416">
        <v>0</v>
      </c>
      <c r="E36" s="416">
        <v>0</v>
      </c>
      <c r="F36" s="416">
        <v>2000</v>
      </c>
      <c r="G36" s="554">
        <v>0</v>
      </c>
    </row>
    <row r="37" spans="1:7" ht="25.5">
      <c r="A37" s="281">
        <v>23</v>
      </c>
      <c r="B37" s="270" t="s">
        <v>1153</v>
      </c>
      <c r="C37" s="416">
        <f t="shared" si="1"/>
        <v>2000</v>
      </c>
      <c r="D37" s="416">
        <v>0</v>
      </c>
      <c r="E37" s="416">
        <v>0</v>
      </c>
      <c r="F37" s="416">
        <v>2000</v>
      </c>
      <c r="G37" s="554">
        <v>0</v>
      </c>
    </row>
    <row r="38" spans="1:7" ht="12.75">
      <c r="A38" s="256"/>
      <c r="B38" s="271" t="s">
        <v>860</v>
      </c>
      <c r="C38" s="416">
        <f>C39</f>
        <v>383.42</v>
      </c>
      <c r="D38" s="416">
        <f>D39</f>
        <v>0</v>
      </c>
      <c r="E38" s="416">
        <f>E39</f>
        <v>0</v>
      </c>
      <c r="F38" s="416">
        <f>F39</f>
        <v>0</v>
      </c>
      <c r="G38" s="416">
        <f>G39</f>
        <v>383.42</v>
      </c>
    </row>
    <row r="39" spans="1:7" ht="16.5" customHeight="1">
      <c r="A39" s="273">
        <v>24</v>
      </c>
      <c r="B39" s="262" t="s">
        <v>164</v>
      </c>
      <c r="C39" s="416">
        <f>D39+F39+G39+E39</f>
        <v>383.42</v>
      </c>
      <c r="D39" s="416">
        <v>0</v>
      </c>
      <c r="E39" s="416">
        <v>0</v>
      </c>
      <c r="F39" s="416">
        <v>0</v>
      </c>
      <c r="G39" s="555">
        <v>383.42</v>
      </c>
    </row>
    <row r="40" spans="1:7" ht="12.75">
      <c r="A40" s="256"/>
      <c r="B40" s="274" t="s">
        <v>861</v>
      </c>
      <c r="C40" s="556">
        <f>D40+F40+G40+E40</f>
        <v>40062.7</v>
      </c>
      <c r="D40" s="556">
        <f>SUM(D41:D52)</f>
        <v>5450</v>
      </c>
      <c r="E40" s="556">
        <f>SUM(E41:E52)</f>
        <v>0</v>
      </c>
      <c r="F40" s="416">
        <f>SUM(F41:F52)</f>
        <v>34612.7</v>
      </c>
      <c r="G40" s="416">
        <f>SUM(G41:G52)</f>
        <v>0</v>
      </c>
    </row>
    <row r="41" spans="1:7" ht="12.75">
      <c r="A41" s="256">
        <v>25</v>
      </c>
      <c r="B41" s="196" t="s">
        <v>862</v>
      </c>
      <c r="C41" s="416">
        <f aca="true" t="shared" si="2" ref="C41:C55">D41+F41+G41</f>
        <v>7214.8</v>
      </c>
      <c r="D41" s="416">
        <v>0</v>
      </c>
      <c r="E41" s="416">
        <v>0</v>
      </c>
      <c r="F41" s="554">
        <v>7214.8</v>
      </c>
      <c r="G41" s="416">
        <v>0</v>
      </c>
    </row>
    <row r="42" spans="1:7" ht="25.5">
      <c r="A42" s="256">
        <v>26</v>
      </c>
      <c r="B42" s="275" t="s">
        <v>863</v>
      </c>
      <c r="C42" s="416">
        <f t="shared" si="2"/>
        <v>400</v>
      </c>
      <c r="D42" s="416">
        <v>0</v>
      </c>
      <c r="E42" s="416">
        <v>0</v>
      </c>
      <c r="F42" s="416">
        <v>400</v>
      </c>
      <c r="G42" s="416">
        <v>0</v>
      </c>
    </row>
    <row r="43" spans="1:7" ht="25.5">
      <c r="A43" s="256">
        <v>27</v>
      </c>
      <c r="B43" s="119" t="s">
        <v>864</v>
      </c>
      <c r="C43" s="416">
        <f t="shared" si="2"/>
        <v>6502.5</v>
      </c>
      <c r="D43" s="416">
        <v>0</v>
      </c>
      <c r="E43" s="416">
        <v>0</v>
      </c>
      <c r="F43" s="554">
        <v>6502.5</v>
      </c>
      <c r="G43" s="416">
        <v>0</v>
      </c>
    </row>
    <row r="44" spans="1:7" ht="28.5" customHeight="1">
      <c r="A44" s="256">
        <v>28</v>
      </c>
      <c r="B44" s="276" t="s">
        <v>865</v>
      </c>
      <c r="C44" s="416">
        <f t="shared" si="2"/>
        <v>600</v>
      </c>
      <c r="D44" s="416">
        <v>0</v>
      </c>
      <c r="E44" s="416">
        <v>0</v>
      </c>
      <c r="F44" s="416">
        <v>600</v>
      </c>
      <c r="G44" s="557">
        <v>0</v>
      </c>
    </row>
    <row r="45" spans="1:7" ht="12.75">
      <c r="A45" s="265">
        <v>29</v>
      </c>
      <c r="B45" s="277" t="s">
        <v>866</v>
      </c>
      <c r="C45" s="416">
        <f t="shared" si="2"/>
        <v>13521.6</v>
      </c>
      <c r="D45" s="416">
        <v>5450</v>
      </c>
      <c r="E45" s="416">
        <v>0</v>
      </c>
      <c r="F45" s="416">
        <f>13521.6-5450</f>
        <v>8071.6</v>
      </c>
      <c r="G45" s="416">
        <v>0</v>
      </c>
    </row>
    <row r="46" spans="1:7" ht="12.75">
      <c r="A46" s="281">
        <v>30</v>
      </c>
      <c r="B46" s="276" t="s">
        <v>1154</v>
      </c>
      <c r="C46" s="416">
        <f t="shared" si="2"/>
        <v>1200</v>
      </c>
      <c r="D46" s="416">
        <v>0</v>
      </c>
      <c r="E46" s="416">
        <v>0</v>
      </c>
      <c r="F46" s="416">
        <v>1200</v>
      </c>
      <c r="G46" s="557">
        <v>0</v>
      </c>
    </row>
    <row r="47" spans="1:7" ht="12.75">
      <c r="A47" s="265">
        <v>31</v>
      </c>
      <c r="B47" s="259" t="s">
        <v>868</v>
      </c>
      <c r="C47" s="416">
        <f t="shared" si="2"/>
        <v>6680</v>
      </c>
      <c r="D47" s="416">
        <v>0</v>
      </c>
      <c r="E47" s="416">
        <v>0</v>
      </c>
      <c r="F47" s="554">
        <v>6680</v>
      </c>
      <c r="G47" s="416">
        <v>0</v>
      </c>
    </row>
    <row r="48" spans="1:7" ht="25.5">
      <c r="A48" s="256">
        <v>32</v>
      </c>
      <c r="B48" s="278" t="s">
        <v>869</v>
      </c>
      <c r="C48" s="416">
        <f t="shared" si="2"/>
        <v>79</v>
      </c>
      <c r="D48" s="416">
        <v>0</v>
      </c>
      <c r="E48" s="416">
        <v>0</v>
      </c>
      <c r="F48" s="416">
        <v>79</v>
      </c>
      <c r="G48" s="416"/>
    </row>
    <row r="49" spans="1:7" ht="25.5">
      <c r="A49" s="256">
        <v>33</v>
      </c>
      <c r="B49" s="275" t="s">
        <v>396</v>
      </c>
      <c r="C49" s="416">
        <f t="shared" si="2"/>
        <v>721.6</v>
      </c>
      <c r="D49" s="416">
        <v>0</v>
      </c>
      <c r="E49" s="416">
        <v>0</v>
      </c>
      <c r="F49" s="416">
        <f>1000-278.4</f>
        <v>721.6</v>
      </c>
      <c r="G49" s="416">
        <v>0</v>
      </c>
    </row>
    <row r="50" spans="1:7" ht="25.5">
      <c r="A50" s="256">
        <v>34</v>
      </c>
      <c r="B50" s="276" t="s">
        <v>397</v>
      </c>
      <c r="C50" s="416">
        <f t="shared" si="2"/>
        <v>721.6</v>
      </c>
      <c r="D50" s="416">
        <v>0</v>
      </c>
      <c r="E50" s="416">
        <v>0</v>
      </c>
      <c r="F50" s="416">
        <f>1000-278.4</f>
        <v>721.6</v>
      </c>
      <c r="G50" s="416">
        <v>0</v>
      </c>
    </row>
    <row r="51" spans="1:7" ht="25.5">
      <c r="A51" s="256">
        <v>35</v>
      </c>
      <c r="B51" s="276" t="s">
        <v>399</v>
      </c>
      <c r="C51" s="416">
        <f t="shared" si="2"/>
        <v>721.6</v>
      </c>
      <c r="D51" s="416">
        <v>0</v>
      </c>
      <c r="E51" s="416">
        <v>0</v>
      </c>
      <c r="F51" s="416">
        <f>1000-278.4</f>
        <v>721.6</v>
      </c>
      <c r="G51" s="416">
        <v>0</v>
      </c>
    </row>
    <row r="52" spans="1:7" ht="25.5">
      <c r="A52" s="256">
        <v>36</v>
      </c>
      <c r="B52" s="276" t="s">
        <v>398</v>
      </c>
      <c r="C52" s="416">
        <f t="shared" si="2"/>
        <v>1700</v>
      </c>
      <c r="D52" s="416">
        <v>0</v>
      </c>
      <c r="E52" s="416">
        <v>0</v>
      </c>
      <c r="F52" s="416">
        <f>1000+700</f>
        <v>1700</v>
      </c>
      <c r="G52" s="416">
        <v>0</v>
      </c>
    </row>
    <row r="53" spans="1:7" ht="12.75">
      <c r="A53" s="256"/>
      <c r="B53" s="279" t="s">
        <v>870</v>
      </c>
      <c r="C53" s="416">
        <f>D53+F53+G53+E53</f>
        <v>31232.674</v>
      </c>
      <c r="D53" s="416">
        <f>D54+D55</f>
        <v>12674.993</v>
      </c>
      <c r="E53" s="416">
        <f>E54+E55</f>
        <v>0</v>
      </c>
      <c r="F53" s="416">
        <f>F54+F55</f>
        <v>17237.681</v>
      </c>
      <c r="G53" s="416">
        <f>G54+G55</f>
        <v>1320</v>
      </c>
    </row>
    <row r="54" spans="1:7" ht="25.5" customHeight="1">
      <c r="A54" s="273">
        <v>37</v>
      </c>
      <c r="B54" s="280" t="s">
        <v>374</v>
      </c>
      <c r="C54" s="416">
        <f>D54+F54+G54</f>
        <v>29912.674</v>
      </c>
      <c r="D54" s="416">
        <v>12674.993</v>
      </c>
      <c r="E54" s="416">
        <v>0</v>
      </c>
      <c r="F54" s="416">
        <f>22117.681-4880</f>
        <v>17237.681</v>
      </c>
      <c r="G54" s="557">
        <v>0</v>
      </c>
    </row>
    <row r="55" spans="1:7" ht="25.5">
      <c r="A55" s="273">
        <v>38</v>
      </c>
      <c r="B55" s="280" t="s">
        <v>286</v>
      </c>
      <c r="C55" s="416">
        <f t="shared" si="2"/>
        <v>1320</v>
      </c>
      <c r="D55" s="416">
        <v>0</v>
      </c>
      <c r="E55" s="416">
        <v>0</v>
      </c>
      <c r="F55" s="416">
        <v>0</v>
      </c>
      <c r="G55" s="557">
        <v>1320</v>
      </c>
    </row>
    <row r="56" spans="1:7" ht="38.25" customHeight="1">
      <c r="A56" s="273"/>
      <c r="B56" s="415" t="s">
        <v>224</v>
      </c>
      <c r="C56" s="416">
        <f>C57</f>
        <v>1600</v>
      </c>
      <c r="D56" s="416">
        <f>D57</f>
        <v>0</v>
      </c>
      <c r="E56" s="416">
        <f>E57</f>
        <v>0</v>
      </c>
      <c r="F56" s="416">
        <f>F57</f>
        <v>1600</v>
      </c>
      <c r="G56" s="416">
        <f>G57</f>
        <v>0</v>
      </c>
    </row>
    <row r="57" spans="1:7" ht="12.75">
      <c r="A57" s="273"/>
      <c r="B57" s="263" t="s">
        <v>852</v>
      </c>
      <c r="C57" s="264">
        <f>D57+E57+F57+G57</f>
        <v>1600</v>
      </c>
      <c r="D57" s="264">
        <f>D59+D60+D61+D58</f>
        <v>0</v>
      </c>
      <c r="E57" s="264">
        <f>E59+E60+E61+E58</f>
        <v>0</v>
      </c>
      <c r="F57" s="264">
        <f>F59+F60+F61+F58</f>
        <v>1600</v>
      </c>
      <c r="G57" s="264">
        <f>G59+G60+G61+G58</f>
        <v>0</v>
      </c>
    </row>
    <row r="58" spans="1:7" ht="25.5">
      <c r="A58" s="281">
        <v>39</v>
      </c>
      <c r="B58" s="282" t="s">
        <v>1155</v>
      </c>
      <c r="C58" s="416">
        <f>D58+F58+G58</f>
        <v>400</v>
      </c>
      <c r="D58" s="556">
        <v>0</v>
      </c>
      <c r="E58" s="556">
        <v>0</v>
      </c>
      <c r="F58" s="556">
        <v>400</v>
      </c>
      <c r="G58" s="556">
        <v>0</v>
      </c>
    </row>
    <row r="59" spans="1:7" ht="25.5">
      <c r="A59" s="281">
        <v>40</v>
      </c>
      <c r="B59" s="282" t="s">
        <v>1156</v>
      </c>
      <c r="C59" s="416">
        <f>D59+F59+G59</f>
        <v>400</v>
      </c>
      <c r="D59" s="556">
        <v>0</v>
      </c>
      <c r="E59" s="416">
        <v>0</v>
      </c>
      <c r="F59" s="416">
        <v>400</v>
      </c>
      <c r="G59" s="554">
        <v>0</v>
      </c>
    </row>
    <row r="60" spans="1:7" ht="25.5">
      <c r="A60" s="281">
        <v>41</v>
      </c>
      <c r="B60" s="282" t="s">
        <v>1035</v>
      </c>
      <c r="C60" s="416">
        <f>D60+F60+G60</f>
        <v>400</v>
      </c>
      <c r="D60" s="556">
        <v>0</v>
      </c>
      <c r="E60" s="416">
        <v>0</v>
      </c>
      <c r="F60" s="416">
        <v>400</v>
      </c>
      <c r="G60" s="554">
        <v>0</v>
      </c>
    </row>
    <row r="61" spans="1:7" ht="25.5">
      <c r="A61" s="281">
        <v>42</v>
      </c>
      <c r="B61" s="282" t="s">
        <v>1157</v>
      </c>
      <c r="C61" s="416">
        <f>D61+F61+G61</f>
        <v>400</v>
      </c>
      <c r="D61" s="556">
        <v>0</v>
      </c>
      <c r="E61" s="416">
        <v>0</v>
      </c>
      <c r="F61" s="416">
        <v>400</v>
      </c>
      <c r="G61" s="554">
        <v>0</v>
      </c>
    </row>
    <row r="62" spans="1:7" ht="38.25">
      <c r="A62" s="283"/>
      <c r="B62" s="284" t="s">
        <v>872</v>
      </c>
      <c r="C62" s="416">
        <f>D62+F62+G62+E62</f>
        <v>20913</v>
      </c>
      <c r="D62" s="416">
        <f>D63+D73</f>
        <v>1959</v>
      </c>
      <c r="E62" s="416">
        <f>E63+E73</f>
        <v>0</v>
      </c>
      <c r="F62" s="416">
        <f>F63+F73</f>
        <v>15606</v>
      </c>
      <c r="G62" s="416">
        <f>G63+G73</f>
        <v>3348</v>
      </c>
    </row>
    <row r="63" spans="1:7" ht="12.75">
      <c r="A63" s="283"/>
      <c r="B63" s="285" t="s">
        <v>873</v>
      </c>
      <c r="C63" s="416">
        <f>D63+F63+G63+E63</f>
        <v>17565</v>
      </c>
      <c r="D63" s="416">
        <f>D64+D65+D66+D67+D68+D69+D70+D71+D72</f>
        <v>1959</v>
      </c>
      <c r="E63" s="416">
        <f>E64+E65+E66+E67+E68+E69+E70+E71+E72</f>
        <v>0</v>
      </c>
      <c r="F63" s="416">
        <f>F64+F65+F66+F67+F68+F69+F70+F71+F72</f>
        <v>15606</v>
      </c>
      <c r="G63" s="416">
        <f>G64+G65+G66+G67+G68+G69+G70+G71+G72</f>
        <v>0</v>
      </c>
    </row>
    <row r="64" spans="1:7" ht="14.25" customHeight="1">
      <c r="A64" s="283">
        <v>43</v>
      </c>
      <c r="B64" s="286" t="s">
        <v>874</v>
      </c>
      <c r="C64" s="416">
        <f aca="true" t="shared" si="3" ref="C64:C72">D64+F64+G64</f>
        <v>425</v>
      </c>
      <c r="D64" s="416">
        <v>0</v>
      </c>
      <c r="E64" s="416">
        <v>0</v>
      </c>
      <c r="F64" s="416">
        <v>425</v>
      </c>
      <c r="G64" s="416">
        <v>0</v>
      </c>
    </row>
    <row r="65" spans="1:7" ht="15" customHeight="1">
      <c r="A65" s="283">
        <v>44</v>
      </c>
      <c r="B65" s="286" t="s">
        <v>875</v>
      </c>
      <c r="C65" s="416">
        <f t="shared" si="3"/>
        <v>750</v>
      </c>
      <c r="D65" s="416">
        <v>0</v>
      </c>
      <c r="E65" s="416">
        <v>0</v>
      </c>
      <c r="F65" s="416">
        <v>750</v>
      </c>
      <c r="G65" s="416">
        <v>0</v>
      </c>
    </row>
    <row r="66" spans="1:7" ht="25.5">
      <c r="A66" s="283">
        <v>45</v>
      </c>
      <c r="B66" s="286" t="s">
        <v>876</v>
      </c>
      <c r="C66" s="416">
        <f t="shared" si="3"/>
        <v>375</v>
      </c>
      <c r="D66" s="416">
        <v>0</v>
      </c>
      <c r="E66" s="416">
        <v>0</v>
      </c>
      <c r="F66" s="416">
        <v>375</v>
      </c>
      <c r="G66" s="416">
        <v>0</v>
      </c>
    </row>
    <row r="67" spans="1:7" ht="25.5">
      <c r="A67" s="283">
        <v>46</v>
      </c>
      <c r="B67" s="286" t="s">
        <v>877</v>
      </c>
      <c r="C67" s="416">
        <f t="shared" si="3"/>
        <v>350</v>
      </c>
      <c r="D67" s="416">
        <v>0</v>
      </c>
      <c r="E67" s="416">
        <v>0</v>
      </c>
      <c r="F67" s="416">
        <v>350</v>
      </c>
      <c r="G67" s="416">
        <v>0</v>
      </c>
    </row>
    <row r="68" spans="1:7" ht="25.5">
      <c r="A68" s="283">
        <v>47</v>
      </c>
      <c r="B68" s="286" t="s">
        <v>878</v>
      </c>
      <c r="C68" s="416">
        <f t="shared" si="3"/>
        <v>350</v>
      </c>
      <c r="D68" s="416">
        <v>0</v>
      </c>
      <c r="E68" s="416">
        <v>0</v>
      </c>
      <c r="F68" s="416">
        <v>350</v>
      </c>
      <c r="G68" s="416">
        <v>0</v>
      </c>
    </row>
    <row r="69" spans="1:7" ht="25.5">
      <c r="A69" s="283">
        <v>48</v>
      </c>
      <c r="B69" s="287" t="s">
        <v>879</v>
      </c>
      <c r="C69" s="416">
        <f t="shared" si="3"/>
        <v>1593</v>
      </c>
      <c r="D69" s="416">
        <v>408</v>
      </c>
      <c r="E69" s="416">
        <v>0</v>
      </c>
      <c r="F69" s="416">
        <v>1185</v>
      </c>
      <c r="G69" s="416">
        <v>0</v>
      </c>
    </row>
    <row r="70" spans="1:7" ht="25.5">
      <c r="A70" s="283">
        <v>49</v>
      </c>
      <c r="B70" s="287" t="s">
        <v>880</v>
      </c>
      <c r="C70" s="416">
        <f t="shared" si="3"/>
        <v>3699</v>
      </c>
      <c r="D70" s="416">
        <v>0</v>
      </c>
      <c r="E70" s="416">
        <v>0</v>
      </c>
      <c r="F70" s="416">
        <v>3699</v>
      </c>
      <c r="G70" s="416">
        <v>0</v>
      </c>
    </row>
    <row r="71" spans="1:7" ht="25.5">
      <c r="A71" s="283">
        <v>50</v>
      </c>
      <c r="B71" s="287" t="s">
        <v>1158</v>
      </c>
      <c r="C71" s="416">
        <f t="shared" si="3"/>
        <v>3883</v>
      </c>
      <c r="D71" s="416">
        <v>351</v>
      </c>
      <c r="E71" s="416">
        <v>0</v>
      </c>
      <c r="F71" s="416">
        <v>3532</v>
      </c>
      <c r="G71" s="416">
        <v>0</v>
      </c>
    </row>
    <row r="72" spans="1:7" ht="25.5">
      <c r="A72" s="283">
        <v>51</v>
      </c>
      <c r="B72" s="287" t="s">
        <v>881</v>
      </c>
      <c r="C72" s="416">
        <f t="shared" si="3"/>
        <v>6140</v>
      </c>
      <c r="D72" s="416">
        <v>1200</v>
      </c>
      <c r="E72" s="416">
        <v>0</v>
      </c>
      <c r="F72" s="416">
        <v>4940</v>
      </c>
      <c r="G72" s="416">
        <v>0</v>
      </c>
    </row>
    <row r="73" spans="1:7" ht="12.75">
      <c r="A73" s="283"/>
      <c r="B73" s="257" t="s">
        <v>842</v>
      </c>
      <c r="C73" s="416">
        <f>D73+E73+F73+G73</f>
        <v>3348</v>
      </c>
      <c r="D73" s="416">
        <f>D74+D75+D76</f>
        <v>0</v>
      </c>
      <c r="E73" s="416">
        <f>E74+E75+E76</f>
        <v>0</v>
      </c>
      <c r="F73" s="416">
        <f>F74+F75+F76</f>
        <v>0</v>
      </c>
      <c r="G73" s="416">
        <f>G74+G75+G76</f>
        <v>3348</v>
      </c>
    </row>
    <row r="74" spans="1:7" ht="15" customHeight="1">
      <c r="A74" s="283">
        <v>52</v>
      </c>
      <c r="B74" s="262" t="s">
        <v>882</v>
      </c>
      <c r="C74" s="416">
        <f>D74+E74+F74+G74</f>
        <v>2000</v>
      </c>
      <c r="D74" s="416">
        <v>0</v>
      </c>
      <c r="E74" s="416">
        <v>0</v>
      </c>
      <c r="F74" s="416">
        <v>0</v>
      </c>
      <c r="G74" s="416">
        <v>2000</v>
      </c>
    </row>
    <row r="75" spans="1:7" ht="25.5">
      <c r="A75" s="283">
        <v>53</v>
      </c>
      <c r="B75" s="262" t="s">
        <v>883</v>
      </c>
      <c r="C75" s="416">
        <f>D75+E75+F75+G75</f>
        <v>500</v>
      </c>
      <c r="D75" s="416">
        <v>0</v>
      </c>
      <c r="E75" s="416">
        <v>0</v>
      </c>
      <c r="F75" s="416">
        <v>0</v>
      </c>
      <c r="G75" s="416">
        <v>500</v>
      </c>
    </row>
    <row r="76" spans="1:7" ht="12.75" customHeight="1">
      <c r="A76" s="273">
        <v>54</v>
      </c>
      <c r="B76" s="262" t="s">
        <v>188</v>
      </c>
      <c r="C76" s="416">
        <f>D76+E76+F76+G76</f>
        <v>848</v>
      </c>
      <c r="D76" s="416">
        <v>0</v>
      </c>
      <c r="E76" s="416"/>
      <c r="F76" s="416"/>
      <c r="G76" s="416">
        <v>848</v>
      </c>
    </row>
    <row r="77" spans="1:7" s="288" customFormat="1" ht="38.25">
      <c r="A77" s="252"/>
      <c r="B77" s="253" t="s">
        <v>183</v>
      </c>
      <c r="C77" s="558">
        <f>D77+F77+G77+E77</f>
        <v>254669.59999999998</v>
      </c>
      <c r="D77" s="558">
        <f>D103+D98+D100+D78</f>
        <v>145902.8</v>
      </c>
      <c r="E77" s="558">
        <f>E103+E98+E100+E78</f>
        <v>0</v>
      </c>
      <c r="F77" s="558">
        <f>F103+F98+F100+F78</f>
        <v>102497.5</v>
      </c>
      <c r="G77" s="558">
        <f>G103+G98+G100+G78</f>
        <v>6269.3</v>
      </c>
    </row>
    <row r="78" spans="1:7" ht="25.5">
      <c r="A78" s="289"/>
      <c r="B78" s="290" t="s">
        <v>884</v>
      </c>
      <c r="C78" s="559">
        <f aca="true" t="shared" si="4" ref="C78:C97">D78+E78+F78+G78</f>
        <v>22622.1</v>
      </c>
      <c r="D78" s="416">
        <f>D79+D80+D81+D82+D83+D84+D85+D86+D87+D88+D89+D90+D91+D92+D93+D94+D95+D96+D97</f>
        <v>16352.8</v>
      </c>
      <c r="E78" s="416">
        <f>E79+E80+E81+E82+E83+E84+E85+E86+E87+E88+E89+E90+E91+E92+E93+E94+E95+E96+E97</f>
        <v>0</v>
      </c>
      <c r="F78" s="416">
        <f>F79+F80+F81+F82+F83+F84+F85+F86+F87+F88+F89+F90+F91+F92+F93+F94+F95+F96+F97</f>
        <v>0</v>
      </c>
      <c r="G78" s="416">
        <f>G79+G80+G81+G82+G83+G84+G85+G86+G87+G88+G89+G90+G91+G92+G93+G94+G95+G96+G97</f>
        <v>6269.3</v>
      </c>
    </row>
    <row r="79" spans="1:7" ht="63.75">
      <c r="A79" s="289">
        <v>55</v>
      </c>
      <c r="B79" s="2" t="s">
        <v>885</v>
      </c>
      <c r="C79" s="559">
        <f t="shared" si="4"/>
        <v>550</v>
      </c>
      <c r="D79" s="416">
        <v>550</v>
      </c>
      <c r="E79" s="416">
        <v>0</v>
      </c>
      <c r="F79" s="416">
        <v>0</v>
      </c>
      <c r="G79" s="416">
        <v>0</v>
      </c>
    </row>
    <row r="80" spans="1:7" ht="63.75">
      <c r="A80" s="289">
        <v>56</v>
      </c>
      <c r="B80" s="2" t="s">
        <v>886</v>
      </c>
      <c r="C80" s="559">
        <f t="shared" si="4"/>
        <v>550</v>
      </c>
      <c r="D80" s="416">
        <v>550</v>
      </c>
      <c r="E80" s="416">
        <v>0</v>
      </c>
      <c r="F80" s="416">
        <v>0</v>
      </c>
      <c r="G80" s="416">
        <v>0</v>
      </c>
    </row>
    <row r="81" spans="1:7" ht="63.75">
      <c r="A81" s="289">
        <v>57</v>
      </c>
      <c r="B81" s="2" t="s">
        <v>150</v>
      </c>
      <c r="C81" s="559">
        <f t="shared" si="4"/>
        <v>1875</v>
      </c>
      <c r="D81" s="416">
        <v>1875</v>
      </c>
      <c r="E81" s="416">
        <v>0</v>
      </c>
      <c r="F81" s="416">
        <v>0</v>
      </c>
      <c r="G81" s="416">
        <v>0</v>
      </c>
    </row>
    <row r="82" spans="1:7" ht="63.75">
      <c r="A82" s="289">
        <v>58</v>
      </c>
      <c r="B82" s="291" t="s">
        <v>887</v>
      </c>
      <c r="C82" s="559">
        <f t="shared" si="4"/>
        <v>1575</v>
      </c>
      <c r="D82" s="416">
        <v>1575</v>
      </c>
      <c r="E82" s="416">
        <v>0</v>
      </c>
      <c r="F82" s="416">
        <v>0</v>
      </c>
      <c r="G82" s="416">
        <v>0</v>
      </c>
    </row>
    <row r="83" spans="1:7" ht="63.75">
      <c r="A83" s="289">
        <v>59</v>
      </c>
      <c r="B83" s="291" t="s">
        <v>152</v>
      </c>
      <c r="C83" s="559">
        <f t="shared" si="4"/>
        <v>600</v>
      </c>
      <c r="D83" s="416">
        <v>600</v>
      </c>
      <c r="E83" s="416">
        <v>0</v>
      </c>
      <c r="F83" s="416">
        <v>0</v>
      </c>
      <c r="G83" s="416">
        <v>0</v>
      </c>
    </row>
    <row r="84" spans="1:7" ht="63.75">
      <c r="A84" s="289">
        <v>60</v>
      </c>
      <c r="B84" s="2" t="s">
        <v>153</v>
      </c>
      <c r="C84" s="559">
        <f t="shared" si="4"/>
        <v>1100</v>
      </c>
      <c r="D84" s="416">
        <v>1100</v>
      </c>
      <c r="E84" s="416">
        <v>0</v>
      </c>
      <c r="F84" s="416">
        <v>0</v>
      </c>
      <c r="G84" s="416">
        <v>0</v>
      </c>
    </row>
    <row r="85" spans="1:7" ht="67.5" customHeight="1">
      <c r="A85" s="289">
        <v>61</v>
      </c>
      <c r="B85" s="119" t="s">
        <v>888</v>
      </c>
      <c r="C85" s="559">
        <f t="shared" si="4"/>
        <v>2231</v>
      </c>
      <c r="D85" s="416">
        <v>2231</v>
      </c>
      <c r="E85" s="416">
        <v>0</v>
      </c>
      <c r="F85" s="416">
        <v>0</v>
      </c>
      <c r="G85" s="416">
        <v>0</v>
      </c>
    </row>
    <row r="86" spans="1:7" ht="63.75">
      <c r="A86" s="289">
        <v>62</v>
      </c>
      <c r="B86" s="2" t="s">
        <v>154</v>
      </c>
      <c r="C86" s="559">
        <f t="shared" si="4"/>
        <v>1600</v>
      </c>
      <c r="D86" s="416">
        <v>1350</v>
      </c>
      <c r="E86" s="416">
        <v>0</v>
      </c>
      <c r="F86" s="416">
        <v>0</v>
      </c>
      <c r="G86" s="416">
        <v>250</v>
      </c>
    </row>
    <row r="87" spans="1:7" ht="63.75">
      <c r="A87" s="289">
        <v>63</v>
      </c>
      <c r="B87" s="2" t="s">
        <v>889</v>
      </c>
      <c r="C87" s="559">
        <f t="shared" si="4"/>
        <v>825</v>
      </c>
      <c r="D87" s="416">
        <v>825</v>
      </c>
      <c r="E87" s="416">
        <v>0</v>
      </c>
      <c r="F87" s="416">
        <v>0</v>
      </c>
      <c r="G87" s="416">
        <v>0</v>
      </c>
    </row>
    <row r="88" spans="1:7" ht="76.5">
      <c r="A88" s="289">
        <v>64</v>
      </c>
      <c r="B88" s="2" t="s">
        <v>890</v>
      </c>
      <c r="C88" s="559">
        <f t="shared" si="4"/>
        <v>550</v>
      </c>
      <c r="D88" s="416">
        <v>0</v>
      </c>
      <c r="E88" s="416">
        <v>0</v>
      </c>
      <c r="F88" s="416">
        <v>0</v>
      </c>
      <c r="G88" s="416">
        <v>550</v>
      </c>
    </row>
    <row r="89" spans="1:7" ht="63.75">
      <c r="A89" s="289">
        <v>65</v>
      </c>
      <c r="B89" s="2" t="s">
        <v>156</v>
      </c>
      <c r="C89" s="559">
        <f t="shared" si="4"/>
        <v>550</v>
      </c>
      <c r="D89" s="416">
        <v>550</v>
      </c>
      <c r="E89" s="416">
        <v>0</v>
      </c>
      <c r="F89" s="416">
        <v>0</v>
      </c>
      <c r="G89" s="416">
        <v>0</v>
      </c>
    </row>
    <row r="90" spans="1:7" ht="15" customHeight="1">
      <c r="A90" s="289">
        <v>66</v>
      </c>
      <c r="B90" s="2" t="s">
        <v>891</v>
      </c>
      <c r="C90" s="559">
        <f t="shared" si="4"/>
        <v>500</v>
      </c>
      <c r="D90" s="416">
        <v>0</v>
      </c>
      <c r="E90" s="416">
        <v>0</v>
      </c>
      <c r="F90" s="416">
        <v>0</v>
      </c>
      <c r="G90" s="416">
        <v>500</v>
      </c>
    </row>
    <row r="91" spans="1:7" ht="76.5">
      <c r="A91" s="289">
        <v>67</v>
      </c>
      <c r="B91" s="292" t="s">
        <v>892</v>
      </c>
      <c r="C91" s="559">
        <f t="shared" si="4"/>
        <v>746.8</v>
      </c>
      <c r="D91" s="416">
        <v>0</v>
      </c>
      <c r="E91" s="416">
        <v>0</v>
      </c>
      <c r="F91" s="416">
        <v>0</v>
      </c>
      <c r="G91" s="416">
        <v>746.8</v>
      </c>
    </row>
    <row r="92" spans="1:7" ht="63.75">
      <c r="A92" s="289">
        <v>68</v>
      </c>
      <c r="B92" s="2" t="s">
        <v>893</v>
      </c>
      <c r="C92" s="559">
        <f t="shared" si="4"/>
        <v>840</v>
      </c>
      <c r="D92" s="416">
        <v>0</v>
      </c>
      <c r="E92" s="416">
        <v>0</v>
      </c>
      <c r="F92" s="416">
        <v>0</v>
      </c>
      <c r="G92" s="416">
        <v>840</v>
      </c>
    </row>
    <row r="93" spans="1:7" ht="76.5">
      <c r="A93" s="289">
        <v>69</v>
      </c>
      <c r="B93" s="2" t="s">
        <v>159</v>
      </c>
      <c r="C93" s="559">
        <f t="shared" si="4"/>
        <v>2082.5</v>
      </c>
      <c r="D93" s="416">
        <v>0</v>
      </c>
      <c r="E93" s="416">
        <v>0</v>
      </c>
      <c r="F93" s="416">
        <v>0</v>
      </c>
      <c r="G93" s="416">
        <v>2082.5</v>
      </c>
    </row>
    <row r="94" spans="1:7" ht="63.75">
      <c r="A94" s="289">
        <v>70</v>
      </c>
      <c r="B94" s="2" t="s">
        <v>894</v>
      </c>
      <c r="C94" s="559">
        <f t="shared" si="4"/>
        <v>2446.8</v>
      </c>
      <c r="D94" s="416">
        <v>1646.8</v>
      </c>
      <c r="E94" s="416">
        <v>0</v>
      </c>
      <c r="F94" s="416">
        <v>0</v>
      </c>
      <c r="G94" s="416">
        <v>800</v>
      </c>
    </row>
    <row r="95" spans="1:7" ht="63.75">
      <c r="A95" s="289">
        <v>71</v>
      </c>
      <c r="B95" s="2" t="s">
        <v>895</v>
      </c>
      <c r="C95" s="559">
        <f t="shared" si="4"/>
        <v>1100</v>
      </c>
      <c r="D95" s="416">
        <v>1100</v>
      </c>
      <c r="E95" s="416">
        <v>0</v>
      </c>
      <c r="F95" s="416">
        <v>0</v>
      </c>
      <c r="G95" s="416">
        <v>0</v>
      </c>
    </row>
    <row r="96" spans="1:7" ht="54" customHeight="1">
      <c r="A96" s="289">
        <v>72</v>
      </c>
      <c r="B96" s="2" t="s">
        <v>896</v>
      </c>
      <c r="C96" s="559">
        <f t="shared" si="4"/>
        <v>1200</v>
      </c>
      <c r="D96" s="416">
        <v>700</v>
      </c>
      <c r="E96" s="416">
        <v>0</v>
      </c>
      <c r="F96" s="416">
        <v>0</v>
      </c>
      <c r="G96" s="416">
        <v>500</v>
      </c>
    </row>
    <row r="97" spans="1:7" ht="63.75">
      <c r="A97" s="289">
        <v>73</v>
      </c>
      <c r="B97" s="2" t="s">
        <v>162</v>
      </c>
      <c r="C97" s="559">
        <f t="shared" si="4"/>
        <v>1700</v>
      </c>
      <c r="D97" s="416">
        <v>1700</v>
      </c>
      <c r="E97" s="416">
        <v>0</v>
      </c>
      <c r="F97" s="416">
        <v>0</v>
      </c>
      <c r="G97" s="416">
        <v>0</v>
      </c>
    </row>
    <row r="98" spans="1:8" s="288" customFormat="1" ht="12.75">
      <c r="A98" s="252"/>
      <c r="B98" s="279" t="s">
        <v>897</v>
      </c>
      <c r="C98" s="534">
        <f>D98+F98+G98+E98</f>
        <v>2865</v>
      </c>
      <c r="D98" s="416">
        <f>D99</f>
        <v>0</v>
      </c>
      <c r="E98" s="416">
        <f>E99</f>
        <v>0</v>
      </c>
      <c r="F98" s="416">
        <f>F99</f>
        <v>2865</v>
      </c>
      <c r="G98" s="416">
        <f>G99</f>
        <v>0</v>
      </c>
      <c r="H98" s="243"/>
    </row>
    <row r="99" spans="1:7" s="288" customFormat="1" ht="12.75">
      <c r="A99" s="289">
        <v>74</v>
      </c>
      <c r="B99" s="293" t="s">
        <v>898</v>
      </c>
      <c r="C99" s="534">
        <f>D99+F99+G99</f>
        <v>2865</v>
      </c>
      <c r="D99" s="534">
        <v>0</v>
      </c>
      <c r="E99" s="416">
        <v>0</v>
      </c>
      <c r="F99" s="534">
        <f>2500+365</f>
        <v>2865</v>
      </c>
      <c r="G99" s="416">
        <v>0</v>
      </c>
    </row>
    <row r="100" spans="1:7" s="288" customFormat="1" ht="12.75">
      <c r="A100" s="252"/>
      <c r="B100" s="263" t="s">
        <v>852</v>
      </c>
      <c r="C100" s="534">
        <f>D100+F100</f>
        <v>192732.5</v>
      </c>
      <c r="D100" s="416">
        <f>D101+D102</f>
        <v>129550</v>
      </c>
      <c r="E100" s="416">
        <f>E101+E102</f>
        <v>0</v>
      </c>
      <c r="F100" s="416">
        <f>F101+F102</f>
        <v>63182.5</v>
      </c>
      <c r="G100" s="416">
        <f>G101+G102</f>
        <v>0</v>
      </c>
    </row>
    <row r="101" spans="1:7" s="288" customFormat="1" ht="28.5" customHeight="1">
      <c r="A101" s="289">
        <v>75</v>
      </c>
      <c r="B101" s="294" t="s">
        <v>899</v>
      </c>
      <c r="C101" s="560">
        <f>D101+F101</f>
        <v>20000</v>
      </c>
      <c r="D101" s="560">
        <v>0</v>
      </c>
      <c r="E101" s="416">
        <v>0</v>
      </c>
      <c r="F101" s="534">
        <f>38000-18000</f>
        <v>20000</v>
      </c>
      <c r="G101" s="416">
        <v>0</v>
      </c>
    </row>
    <row r="102" spans="1:7" s="288" customFormat="1" ht="38.25">
      <c r="A102" s="256">
        <v>76</v>
      </c>
      <c r="B102" s="269" t="s">
        <v>900</v>
      </c>
      <c r="C102" s="534">
        <f>D102+F102</f>
        <v>172732.5</v>
      </c>
      <c r="D102" s="534">
        <v>129550</v>
      </c>
      <c r="E102" s="416">
        <v>0</v>
      </c>
      <c r="F102" s="534">
        <v>43182.5</v>
      </c>
      <c r="G102" s="416"/>
    </row>
    <row r="103" spans="1:7" ht="12.75">
      <c r="A103" s="295"/>
      <c r="B103" s="274" t="s">
        <v>861</v>
      </c>
      <c r="C103" s="556">
        <f>D103+F103+G103+E103</f>
        <v>36450</v>
      </c>
      <c r="D103" s="416">
        <f>D104+D105</f>
        <v>0</v>
      </c>
      <c r="E103" s="416">
        <f>E104+E105</f>
        <v>0</v>
      </c>
      <c r="F103" s="416">
        <f>F104+F105</f>
        <v>36450</v>
      </c>
      <c r="G103" s="416">
        <f>G104+G105</f>
        <v>0</v>
      </c>
    </row>
    <row r="104" spans="1:7" ht="38.25">
      <c r="A104" s="256">
        <v>77</v>
      </c>
      <c r="B104" s="296" t="s">
        <v>901</v>
      </c>
      <c r="C104" s="416">
        <f>D104+F104+G104</f>
        <v>15450</v>
      </c>
      <c r="D104" s="416">
        <v>0</v>
      </c>
      <c r="E104" s="416">
        <v>0</v>
      </c>
      <c r="F104" s="416">
        <v>15450</v>
      </c>
      <c r="G104" s="416">
        <v>0</v>
      </c>
    </row>
    <row r="105" spans="1:7" ht="25.5">
      <c r="A105" s="256">
        <v>78</v>
      </c>
      <c r="B105" s="276" t="s">
        <v>902</v>
      </c>
      <c r="C105" s="416">
        <f>D105+F105+G105</f>
        <v>21000</v>
      </c>
      <c r="D105" s="416">
        <v>0</v>
      </c>
      <c r="E105" s="416">
        <v>0</v>
      </c>
      <c r="F105" s="416">
        <v>21000</v>
      </c>
      <c r="G105" s="416">
        <v>0</v>
      </c>
    </row>
    <row r="106" spans="1:7" s="297" customFormat="1" ht="15.75">
      <c r="A106" s="613" t="s">
        <v>789</v>
      </c>
      <c r="B106" s="614"/>
      <c r="C106" s="614"/>
      <c r="D106" s="614"/>
      <c r="E106" s="614"/>
      <c r="F106" s="614"/>
      <c r="G106" s="615"/>
    </row>
    <row r="107" spans="1:7" ht="44.25" customHeight="1">
      <c r="A107" s="298"/>
      <c r="B107" s="250" t="s">
        <v>903</v>
      </c>
      <c r="C107" s="299">
        <f>D107+F107+E107+G107</f>
        <v>200428</v>
      </c>
      <c r="D107" s="300">
        <f>D128+D108+D124</f>
        <v>82500</v>
      </c>
      <c r="E107" s="300">
        <f>E128+E108+E124</f>
        <v>5000</v>
      </c>
      <c r="F107" s="300">
        <f>F128+F108+F124</f>
        <v>98928</v>
      </c>
      <c r="G107" s="300">
        <f>G128+G108+G124</f>
        <v>14000</v>
      </c>
    </row>
    <row r="108" spans="1:7" ht="25.5">
      <c r="A108" s="298"/>
      <c r="B108" s="301" t="s">
        <v>839</v>
      </c>
      <c r="C108" s="302">
        <f>D108+E108+F108+G108</f>
        <v>79500</v>
      </c>
      <c r="D108" s="302">
        <f>D111+D113+D109</f>
        <v>0</v>
      </c>
      <c r="E108" s="302">
        <f>E111+E113+E109</f>
        <v>5000</v>
      </c>
      <c r="F108" s="302">
        <f>F111+F113+F109</f>
        <v>60500</v>
      </c>
      <c r="G108" s="302">
        <f>G111+G113+G109</f>
        <v>14000</v>
      </c>
    </row>
    <row r="109" spans="1:7" ht="25.5">
      <c r="A109" s="256"/>
      <c r="B109" s="257" t="s">
        <v>840</v>
      </c>
      <c r="C109" s="258">
        <f>C110</f>
        <v>8000</v>
      </c>
      <c r="D109" s="258">
        <f>D110</f>
        <v>0</v>
      </c>
      <c r="E109" s="258">
        <f>E110</f>
        <v>0</v>
      </c>
      <c r="F109" s="258">
        <f>F110</f>
        <v>0</v>
      </c>
      <c r="G109" s="258">
        <f>G110</f>
        <v>8000</v>
      </c>
    </row>
    <row r="110" spans="1:7" ht="27" customHeight="1">
      <c r="A110" s="256">
        <v>1</v>
      </c>
      <c r="B110" s="259" t="s">
        <v>841</v>
      </c>
      <c r="C110" s="260">
        <f>D110+F110+G110+E110</f>
        <v>8000</v>
      </c>
      <c r="D110" s="260">
        <v>0</v>
      </c>
      <c r="E110" s="260">
        <v>0</v>
      </c>
      <c r="F110" s="260">
        <v>0</v>
      </c>
      <c r="G110" s="261">
        <v>8000</v>
      </c>
    </row>
    <row r="111" spans="1:7" ht="12.75">
      <c r="A111" s="298"/>
      <c r="B111" s="257" t="s">
        <v>842</v>
      </c>
      <c r="C111" s="303">
        <f>D111+F111+G111+E111</f>
        <v>11000</v>
      </c>
      <c r="D111" s="303">
        <f>D112</f>
        <v>0</v>
      </c>
      <c r="E111" s="303">
        <f>E112</f>
        <v>5000</v>
      </c>
      <c r="F111" s="303">
        <f>F112</f>
        <v>0</v>
      </c>
      <c r="G111" s="303">
        <f>G112</f>
        <v>6000</v>
      </c>
    </row>
    <row r="112" spans="1:7" ht="55.5" customHeight="1">
      <c r="A112" s="256">
        <v>2</v>
      </c>
      <c r="B112" s="262" t="s">
        <v>849</v>
      </c>
      <c r="C112" s="303">
        <f>D112+F112+G112+E112</f>
        <v>11000</v>
      </c>
      <c r="D112" s="303">
        <v>0</v>
      </c>
      <c r="E112" s="303">
        <v>5000</v>
      </c>
      <c r="F112" s="303">
        <v>0</v>
      </c>
      <c r="G112" s="303">
        <v>6000</v>
      </c>
    </row>
    <row r="113" spans="1:7" ht="12.75">
      <c r="A113" s="256"/>
      <c r="B113" s="274" t="s">
        <v>861</v>
      </c>
      <c r="C113" s="304">
        <f>D113+F113+G113+E113</f>
        <v>60500</v>
      </c>
      <c r="D113" s="304">
        <f>D123+D114+D115+D116+D117+D118+D119+D120+D121+D122</f>
        <v>0</v>
      </c>
      <c r="E113" s="304">
        <f>E123+E114+E115+E116+E117+E118+E119+E120+E121+E122</f>
        <v>0</v>
      </c>
      <c r="F113" s="304">
        <f>F123+F114+F115+F116+F117+F118+F119+F120+F121+F122</f>
        <v>60500</v>
      </c>
      <c r="G113" s="304">
        <f>G123+G114+G115+G116+G117+G118+G119+G120+G121+G122</f>
        <v>0</v>
      </c>
    </row>
    <row r="114" spans="1:7" ht="25.5">
      <c r="A114" s="256">
        <v>3</v>
      </c>
      <c r="B114" s="275" t="s">
        <v>863</v>
      </c>
      <c r="C114" s="305">
        <f aca="true" t="shared" si="5" ref="C114:C123">D114+F114+G114</f>
        <v>3000</v>
      </c>
      <c r="D114" s="260">
        <v>0</v>
      </c>
      <c r="E114" s="260">
        <v>0</v>
      </c>
      <c r="F114" s="260">
        <v>3000</v>
      </c>
      <c r="G114" s="260">
        <v>0</v>
      </c>
    </row>
    <row r="115" spans="1:7" ht="12.75">
      <c r="A115" s="256">
        <v>4</v>
      </c>
      <c r="B115" s="276" t="s">
        <v>867</v>
      </c>
      <c r="C115" s="303">
        <f t="shared" si="5"/>
        <v>13800</v>
      </c>
      <c r="D115" s="303">
        <v>0</v>
      </c>
      <c r="E115" s="303">
        <v>0</v>
      </c>
      <c r="F115" s="303">
        <v>13800</v>
      </c>
      <c r="G115" s="260">
        <v>0</v>
      </c>
    </row>
    <row r="116" spans="1:7" ht="12.75">
      <c r="A116" s="256">
        <v>5</v>
      </c>
      <c r="B116" s="276" t="s">
        <v>904</v>
      </c>
      <c r="C116" s="260">
        <f t="shared" si="5"/>
        <v>700</v>
      </c>
      <c r="D116" s="260">
        <v>0</v>
      </c>
      <c r="E116" s="260">
        <v>0</v>
      </c>
      <c r="F116" s="260">
        <v>700</v>
      </c>
      <c r="G116" s="260">
        <v>0</v>
      </c>
    </row>
    <row r="117" spans="1:7" ht="25.5">
      <c r="A117" s="256">
        <v>6</v>
      </c>
      <c r="B117" s="275" t="s">
        <v>396</v>
      </c>
      <c r="C117" s="305">
        <f t="shared" si="5"/>
        <v>10000</v>
      </c>
      <c r="D117" s="260">
        <v>0</v>
      </c>
      <c r="E117" s="260">
        <v>0</v>
      </c>
      <c r="F117" s="260">
        <v>10000</v>
      </c>
      <c r="G117" s="260">
        <v>0</v>
      </c>
    </row>
    <row r="118" spans="1:7" ht="25.5">
      <c r="A118" s="256">
        <v>7</v>
      </c>
      <c r="B118" s="276" t="s">
        <v>397</v>
      </c>
      <c r="C118" s="260">
        <f t="shared" si="5"/>
        <v>10000</v>
      </c>
      <c r="D118" s="260">
        <v>0</v>
      </c>
      <c r="E118" s="260">
        <v>0</v>
      </c>
      <c r="F118" s="260">
        <v>10000</v>
      </c>
      <c r="G118" s="260">
        <v>0</v>
      </c>
    </row>
    <row r="119" spans="1:7" ht="25.5">
      <c r="A119" s="256">
        <v>8</v>
      </c>
      <c r="B119" s="276" t="s">
        <v>399</v>
      </c>
      <c r="C119" s="260">
        <f t="shared" si="5"/>
        <v>10000</v>
      </c>
      <c r="D119" s="260">
        <v>0</v>
      </c>
      <c r="E119" s="260">
        <v>0</v>
      </c>
      <c r="F119" s="260">
        <v>10000</v>
      </c>
      <c r="G119" s="260">
        <v>0</v>
      </c>
    </row>
    <row r="120" spans="1:7" ht="25.5">
      <c r="A120" s="256">
        <v>9</v>
      </c>
      <c r="B120" s="276" t="s">
        <v>1024</v>
      </c>
      <c r="C120" s="260">
        <f t="shared" si="5"/>
        <v>10000</v>
      </c>
      <c r="D120" s="260">
        <v>0</v>
      </c>
      <c r="E120" s="260">
        <v>0</v>
      </c>
      <c r="F120" s="260">
        <v>10000</v>
      </c>
      <c r="G120" s="260">
        <v>0</v>
      </c>
    </row>
    <row r="121" spans="1:7" ht="25.5">
      <c r="A121" s="256">
        <v>10</v>
      </c>
      <c r="B121" s="276" t="s">
        <v>905</v>
      </c>
      <c r="C121" s="260">
        <f t="shared" si="5"/>
        <v>1000</v>
      </c>
      <c r="D121" s="260">
        <v>0</v>
      </c>
      <c r="E121" s="260">
        <v>0</v>
      </c>
      <c r="F121" s="260">
        <v>1000</v>
      </c>
      <c r="G121" s="260">
        <v>0</v>
      </c>
    </row>
    <row r="122" spans="1:7" ht="25.5">
      <c r="A122" s="256">
        <v>11</v>
      </c>
      <c r="B122" s="276" t="s">
        <v>906</v>
      </c>
      <c r="C122" s="260">
        <f t="shared" si="5"/>
        <v>1000</v>
      </c>
      <c r="D122" s="260">
        <v>0</v>
      </c>
      <c r="E122" s="260">
        <v>0</v>
      </c>
      <c r="F122" s="260">
        <v>1000</v>
      </c>
      <c r="G122" s="260">
        <v>0</v>
      </c>
    </row>
    <row r="123" spans="1:7" ht="25.5">
      <c r="A123" s="256">
        <v>12</v>
      </c>
      <c r="B123" s="276" t="s">
        <v>907</v>
      </c>
      <c r="C123" s="260">
        <f t="shared" si="5"/>
        <v>1000</v>
      </c>
      <c r="D123" s="260">
        <v>0</v>
      </c>
      <c r="E123" s="260">
        <v>0</v>
      </c>
      <c r="F123" s="260">
        <v>1000</v>
      </c>
      <c r="G123" s="260">
        <v>0</v>
      </c>
    </row>
    <row r="124" spans="1:7" ht="43.5" customHeight="1">
      <c r="A124" s="298"/>
      <c r="B124" s="284" t="s">
        <v>872</v>
      </c>
      <c r="C124" s="306">
        <f>D124+F124+G124+E124</f>
        <v>10928</v>
      </c>
      <c r="D124" s="306">
        <f>D125</f>
        <v>0</v>
      </c>
      <c r="E124" s="306">
        <f>E125+E137</f>
        <v>0</v>
      </c>
      <c r="F124" s="306">
        <f>F125+F137</f>
        <v>10928</v>
      </c>
      <c r="G124" s="260">
        <v>0</v>
      </c>
    </row>
    <row r="125" spans="1:7" ht="12.75">
      <c r="A125" s="256"/>
      <c r="B125" s="307" t="s">
        <v>873</v>
      </c>
      <c r="C125" s="272">
        <f>D125+F125+G125+E125</f>
        <v>10928</v>
      </c>
      <c r="D125" s="272">
        <f>D126+D127</f>
        <v>0</v>
      </c>
      <c r="E125" s="272">
        <f>E126+E127</f>
        <v>0</v>
      </c>
      <c r="F125" s="272">
        <f>F126+F127</f>
        <v>10928</v>
      </c>
      <c r="G125" s="260">
        <v>0</v>
      </c>
    </row>
    <row r="126" spans="1:7" ht="13.5" customHeight="1">
      <c r="A126" s="256">
        <v>13</v>
      </c>
      <c r="B126" s="286" t="s">
        <v>908</v>
      </c>
      <c r="C126" s="260">
        <f>D126+F126+G126</f>
        <v>7658</v>
      </c>
      <c r="D126" s="260">
        <v>0</v>
      </c>
      <c r="E126" s="260">
        <v>0</v>
      </c>
      <c r="F126" s="272">
        <v>7658</v>
      </c>
      <c r="G126" s="260">
        <v>0</v>
      </c>
    </row>
    <row r="127" spans="1:7" ht="30.75" customHeight="1">
      <c r="A127" s="256">
        <v>14</v>
      </c>
      <c r="B127" s="286" t="s">
        <v>909</v>
      </c>
      <c r="C127" s="260">
        <f>D127+F127+G127</f>
        <v>3270</v>
      </c>
      <c r="D127" s="260">
        <v>0</v>
      </c>
      <c r="E127" s="260">
        <v>0</v>
      </c>
      <c r="F127" s="260">
        <v>3270</v>
      </c>
      <c r="G127" s="260">
        <v>0</v>
      </c>
    </row>
    <row r="128" spans="1:7" ht="43.5" customHeight="1">
      <c r="A128" s="256"/>
      <c r="B128" s="301" t="s">
        <v>183</v>
      </c>
      <c r="C128" s="302">
        <f>D128+E128+F128+G128</f>
        <v>110000</v>
      </c>
      <c r="D128" s="302">
        <f aca="true" t="shared" si="6" ref="D128:F129">D129</f>
        <v>82500</v>
      </c>
      <c r="E128" s="302">
        <f t="shared" si="6"/>
        <v>0</v>
      </c>
      <c r="F128" s="302">
        <f t="shared" si="6"/>
        <v>27500</v>
      </c>
      <c r="G128" s="260">
        <v>0</v>
      </c>
    </row>
    <row r="129" spans="1:7" ht="12.75">
      <c r="A129" s="256"/>
      <c r="B129" s="263" t="s">
        <v>852</v>
      </c>
      <c r="C129" s="308">
        <f>D129+E129+F129+G129</f>
        <v>110000</v>
      </c>
      <c r="D129" s="308">
        <f t="shared" si="6"/>
        <v>82500</v>
      </c>
      <c r="E129" s="308">
        <f t="shared" si="6"/>
        <v>0</v>
      </c>
      <c r="F129" s="308">
        <f>F130</f>
        <v>27500</v>
      </c>
      <c r="G129" s="308">
        <f>G130</f>
        <v>0</v>
      </c>
    </row>
    <row r="130" spans="1:7" ht="44.25" customHeight="1">
      <c r="A130" s="256">
        <v>15</v>
      </c>
      <c r="B130" s="269" t="s">
        <v>910</v>
      </c>
      <c r="C130" s="308">
        <f>D130+E130+F130+G130</f>
        <v>110000</v>
      </c>
      <c r="D130" s="308">
        <v>82500</v>
      </c>
      <c r="E130" s="308">
        <v>0</v>
      </c>
      <c r="F130" s="308">
        <v>27500</v>
      </c>
      <c r="G130" s="308">
        <v>0</v>
      </c>
    </row>
    <row r="131" spans="1:7" s="297" customFormat="1" ht="15.75" customHeight="1">
      <c r="A131" s="613" t="s">
        <v>791</v>
      </c>
      <c r="B131" s="614"/>
      <c r="C131" s="614"/>
      <c r="D131" s="614"/>
      <c r="E131" s="614"/>
      <c r="F131" s="614"/>
      <c r="G131" s="615"/>
    </row>
    <row r="132" spans="1:7" ht="27" customHeight="1">
      <c r="A132" s="298"/>
      <c r="B132" s="250" t="s">
        <v>838</v>
      </c>
      <c r="C132" s="309">
        <f>D132+E132+F132+G132</f>
        <v>150000</v>
      </c>
      <c r="D132" s="309">
        <f aca="true" t="shared" si="7" ref="D132:G134">D133</f>
        <v>49071.55</v>
      </c>
      <c r="E132" s="309">
        <f t="shared" si="7"/>
        <v>0</v>
      </c>
      <c r="F132" s="309">
        <f t="shared" si="7"/>
        <v>100928.45</v>
      </c>
      <c r="G132" s="300">
        <f t="shared" si="7"/>
        <v>0</v>
      </c>
    </row>
    <row r="133" spans="1:7" ht="38.25">
      <c r="A133" s="298"/>
      <c r="B133" s="301" t="s">
        <v>183</v>
      </c>
      <c r="C133" s="310">
        <f>D133+E133+F133+G133</f>
        <v>150000</v>
      </c>
      <c r="D133" s="310">
        <f t="shared" si="7"/>
        <v>49071.55</v>
      </c>
      <c r="E133" s="302">
        <f t="shared" si="7"/>
        <v>0</v>
      </c>
      <c r="F133" s="310">
        <f t="shared" si="7"/>
        <v>100928.45</v>
      </c>
      <c r="G133" s="302">
        <f t="shared" si="7"/>
        <v>0</v>
      </c>
    </row>
    <row r="134" spans="1:7" ht="12.75">
      <c r="A134" s="298"/>
      <c r="B134" s="263" t="s">
        <v>852</v>
      </c>
      <c r="C134" s="311">
        <f>D134+E134+F134+G134</f>
        <v>150000</v>
      </c>
      <c r="D134" s="311">
        <f t="shared" si="7"/>
        <v>49071.55</v>
      </c>
      <c r="E134" s="308">
        <f t="shared" si="7"/>
        <v>0</v>
      </c>
      <c r="F134" s="311">
        <f t="shared" si="7"/>
        <v>100928.45</v>
      </c>
      <c r="G134" s="308">
        <f t="shared" si="7"/>
        <v>0</v>
      </c>
    </row>
    <row r="135" spans="1:7" ht="38.25">
      <c r="A135" s="256">
        <v>1</v>
      </c>
      <c r="B135" s="269" t="s">
        <v>911</v>
      </c>
      <c r="C135" s="308">
        <f>D135+E135+F135+G135</f>
        <v>150000</v>
      </c>
      <c r="D135" s="311">
        <v>49071.55</v>
      </c>
      <c r="E135" s="308">
        <v>0</v>
      </c>
      <c r="F135" s="312">
        <v>100928.45</v>
      </c>
      <c r="G135" s="308">
        <v>0</v>
      </c>
    </row>
    <row r="136" spans="1:7" s="315" customFormat="1" ht="12.75">
      <c r="A136" s="256"/>
      <c r="B136" s="313" t="s">
        <v>912</v>
      </c>
      <c r="C136" s="251">
        <f>D136+E136+F136+G136</f>
        <v>850658.698</v>
      </c>
      <c r="D136" s="314">
        <f>D132+D107+D10</f>
        <v>342533.833</v>
      </c>
      <c r="E136" s="314">
        <f>E132+E107+E10</f>
        <v>20062.8</v>
      </c>
      <c r="F136" s="314">
        <f>F132+F107+F10</f>
        <v>412727.945</v>
      </c>
      <c r="G136" s="314">
        <f>G132+G107+G10</f>
        <v>75334.12</v>
      </c>
    </row>
  </sheetData>
  <sheetProtection/>
  <mergeCells count="11">
    <mergeCell ref="C7:C8"/>
    <mergeCell ref="D7:G7"/>
    <mergeCell ref="A106:G106"/>
    <mergeCell ref="A131:G131"/>
    <mergeCell ref="A9:G9"/>
    <mergeCell ref="E1:G1"/>
    <mergeCell ref="E2:G2"/>
    <mergeCell ref="E3:G3"/>
    <mergeCell ref="B5:G5"/>
    <mergeCell ref="A7:A8"/>
    <mergeCell ref="B7:B8"/>
  </mergeCells>
  <printOptions/>
  <pageMargins left="0.3937007874015748" right="0" top="0.3937007874015748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2.140625" style="339" customWidth="1"/>
    <col min="2" max="2" width="11.140625" style="213" customWidth="1"/>
    <col min="3" max="3" width="11.8515625" style="215" customWidth="1"/>
    <col min="4" max="4" width="10.421875" style="215" customWidth="1"/>
    <col min="5" max="5" width="10.57421875" style="215" customWidth="1"/>
    <col min="6" max="6" width="10.421875" style="215" customWidth="1"/>
    <col min="7" max="7" width="9.421875" style="215" bestFit="1" customWidth="1"/>
    <col min="8" max="8" width="9.140625" style="215" customWidth="1"/>
    <col min="9" max="9" width="12.421875" style="215" bestFit="1" customWidth="1"/>
    <col min="10" max="16384" width="9.140625" style="215" customWidth="1"/>
  </cols>
  <sheetData>
    <row r="1" spans="4:6" ht="12.75">
      <c r="D1" s="621" t="s">
        <v>1189</v>
      </c>
      <c r="E1" s="621"/>
      <c r="F1" s="621"/>
    </row>
    <row r="2" spans="4:6" ht="12.75">
      <c r="D2" s="621" t="s">
        <v>665</v>
      </c>
      <c r="E2" s="621"/>
      <c r="F2" s="621"/>
    </row>
    <row r="3" spans="4:6" ht="12.75">
      <c r="D3" s="621" t="s">
        <v>1210</v>
      </c>
      <c r="E3" s="621"/>
      <c r="F3" s="621"/>
    </row>
    <row r="4" spans="2:5" ht="7.5" customHeight="1">
      <c r="B4" s="340"/>
      <c r="C4" s="213"/>
      <c r="D4" s="213"/>
      <c r="E4" s="213"/>
    </row>
    <row r="5" spans="1:6" ht="30" customHeight="1">
      <c r="A5" s="622" t="s">
        <v>949</v>
      </c>
      <c r="B5" s="622"/>
      <c r="C5" s="622"/>
      <c r="D5" s="622"/>
      <c r="E5" s="622"/>
      <c r="F5" s="622"/>
    </row>
    <row r="6" ht="11.25" customHeight="1"/>
    <row r="7" spans="1:6" ht="24">
      <c r="A7" s="219" t="s">
        <v>950</v>
      </c>
      <c r="B7" s="341" t="s">
        <v>22</v>
      </c>
      <c r="C7" s="342" t="s">
        <v>951</v>
      </c>
      <c r="D7" s="219" t="s">
        <v>700</v>
      </c>
      <c r="E7" s="219" t="s">
        <v>1168</v>
      </c>
      <c r="F7" s="219" t="s">
        <v>836</v>
      </c>
    </row>
    <row r="8" spans="1:6" ht="12.75">
      <c r="A8" s="343" t="s">
        <v>952</v>
      </c>
      <c r="B8" s="344">
        <f>SUM(C8:F8)</f>
        <v>107909.793</v>
      </c>
      <c r="C8" s="344">
        <f>74880.3+3238+6255.593-1877.7</f>
        <v>82496.193</v>
      </c>
      <c r="D8" s="344">
        <f>24960.1+1079.4-625.9</f>
        <v>25413.6</v>
      </c>
      <c r="E8" s="347">
        <v>0</v>
      </c>
      <c r="F8" s="347">
        <v>0</v>
      </c>
    </row>
    <row r="9" spans="1:6" ht="12.75">
      <c r="A9" s="345" t="s">
        <v>953</v>
      </c>
      <c r="B9" s="344">
        <f>SUM(C9:F9)</f>
        <v>5000.001</v>
      </c>
      <c r="C9" s="344">
        <f>2085+2915.001</f>
        <v>5000.001</v>
      </c>
      <c r="D9" s="344">
        <v>0</v>
      </c>
      <c r="E9" s="347">
        <v>0</v>
      </c>
      <c r="F9" s="347">
        <v>0</v>
      </c>
    </row>
    <row r="10" spans="1:6" ht="12.75">
      <c r="A10" s="343" t="s">
        <v>954</v>
      </c>
      <c r="B10" s="344">
        <f>C10+D10+E10+F10</f>
        <v>20124.738</v>
      </c>
      <c r="C10" s="344">
        <f>C11</f>
        <v>15093.538</v>
      </c>
      <c r="D10" s="344">
        <f>D11</f>
        <v>5031.2</v>
      </c>
      <c r="E10" s="344">
        <f>E11</f>
        <v>0</v>
      </c>
      <c r="F10" s="344">
        <f>F11</f>
        <v>0</v>
      </c>
    </row>
    <row r="11" spans="1:6" ht="25.5">
      <c r="A11" s="346" t="s">
        <v>955</v>
      </c>
      <c r="B11" s="347">
        <f>C11+D11+E11+F11</f>
        <v>20124.738</v>
      </c>
      <c r="C11" s="347">
        <f>15093.5+0.038</f>
        <v>15093.538</v>
      </c>
      <c r="D11" s="348">
        <v>5031.2</v>
      </c>
      <c r="E11" s="348">
        <v>0</v>
      </c>
      <c r="F11" s="348">
        <v>0</v>
      </c>
    </row>
    <row r="12" spans="1:6" ht="12.75">
      <c r="A12" s="343" t="s">
        <v>956</v>
      </c>
      <c r="B12" s="344">
        <f>SUM(C12:F12)</f>
        <v>70885.649</v>
      </c>
      <c r="C12" s="344">
        <f>C14+C25+C24+C26</f>
        <v>9053.7</v>
      </c>
      <c r="D12" s="344">
        <f>D14+D25+D24+D26</f>
        <v>0</v>
      </c>
      <c r="E12" s="344">
        <f>E14+E25+E24+E26</f>
        <v>30830.512</v>
      </c>
      <c r="F12" s="344">
        <f>F14+F25+F24+F26</f>
        <v>31001.436999999998</v>
      </c>
    </row>
    <row r="13" spans="1:6" ht="12.75">
      <c r="A13" s="343" t="s">
        <v>1169</v>
      </c>
      <c r="B13" s="344"/>
      <c r="C13" s="344"/>
      <c r="D13" s="344"/>
      <c r="E13" s="344"/>
      <c r="F13" s="344"/>
    </row>
    <row r="14" spans="1:9" ht="43.5" customHeight="1">
      <c r="A14" s="401" t="s">
        <v>1170</v>
      </c>
      <c r="B14" s="535">
        <f>C14+D14+E14+F14</f>
        <v>66323.949</v>
      </c>
      <c r="C14" s="535">
        <f>C15+C16+C17+C18+C19+C20+C21+C22+C23</f>
        <v>5111</v>
      </c>
      <c r="D14" s="535">
        <f>D15+D16+D17+D18+D19+D20+D21+D22+D23</f>
        <v>0</v>
      </c>
      <c r="E14" s="535">
        <f>E15+E16+E17+E18+E19+E20+E21+E22+E23</f>
        <v>30830.512</v>
      </c>
      <c r="F14" s="535">
        <f>F15+F16+F17+F18+F19+F20+F21+F22+F23</f>
        <v>30382.436999999998</v>
      </c>
      <c r="G14" s="349"/>
      <c r="I14" s="349"/>
    </row>
    <row r="15" spans="1:9" ht="12.75">
      <c r="A15" s="346" t="s">
        <v>1171</v>
      </c>
      <c r="B15" s="536">
        <f>C15+D15+E15+F15</f>
        <v>15506.440999999999</v>
      </c>
      <c r="C15" s="347">
        <v>2200</v>
      </c>
      <c r="D15" s="562">
        <v>0</v>
      </c>
      <c r="E15" s="347">
        <f>5332.164+4671.038-75.98</f>
        <v>9927.222</v>
      </c>
      <c r="F15" s="348">
        <f>3303.239+75.98</f>
        <v>3379.219</v>
      </c>
      <c r="G15" s="349"/>
      <c r="I15" s="349"/>
    </row>
    <row r="16" spans="1:9" ht="12.75">
      <c r="A16" s="346" t="s">
        <v>961</v>
      </c>
      <c r="B16" s="536">
        <f aca="true" t="shared" si="0" ref="B16:B23">C16+D16+E16+F16</f>
        <v>4594.304</v>
      </c>
      <c r="C16" s="562">
        <v>0</v>
      </c>
      <c r="D16" s="562">
        <v>0</v>
      </c>
      <c r="E16" s="347">
        <v>2781.671</v>
      </c>
      <c r="F16" s="348">
        <f>1797.928+14.705</f>
        <v>1812.633</v>
      </c>
      <c r="G16" s="349"/>
      <c r="I16" s="349"/>
    </row>
    <row r="17" spans="1:9" ht="12.75">
      <c r="A17" s="346" t="s">
        <v>1172</v>
      </c>
      <c r="B17" s="536">
        <f t="shared" si="0"/>
        <v>2975</v>
      </c>
      <c r="C17" s="562">
        <v>0</v>
      </c>
      <c r="D17" s="562">
        <v>0</v>
      </c>
      <c r="E17" s="347">
        <f>1311.359-121.807</f>
        <v>1189.552</v>
      </c>
      <c r="F17" s="348">
        <v>1785.448</v>
      </c>
      <c r="G17" s="349"/>
      <c r="I17" s="349"/>
    </row>
    <row r="18" spans="1:9" ht="12.75">
      <c r="A18" s="346" t="s">
        <v>1173</v>
      </c>
      <c r="B18" s="536">
        <f t="shared" si="0"/>
        <v>11471.599999999999</v>
      </c>
      <c r="C18" s="562">
        <v>0</v>
      </c>
      <c r="D18" s="562">
        <v>0</v>
      </c>
      <c r="E18" s="347">
        <v>6126.901</v>
      </c>
      <c r="F18" s="348">
        <v>5344.699</v>
      </c>
      <c r="G18" s="349"/>
      <c r="I18" s="349"/>
    </row>
    <row r="19" spans="1:9" ht="12.75">
      <c r="A19" s="346" t="s">
        <v>1174</v>
      </c>
      <c r="B19" s="536">
        <f t="shared" si="0"/>
        <v>12272.12</v>
      </c>
      <c r="C19" s="347">
        <v>2911</v>
      </c>
      <c r="D19" s="562">
        <v>0</v>
      </c>
      <c r="E19" s="347">
        <v>7057.135</v>
      </c>
      <c r="F19" s="348">
        <v>2303.985</v>
      </c>
      <c r="G19" s="349"/>
      <c r="I19" s="349"/>
    </row>
    <row r="20" spans="1:9" ht="12.75">
      <c r="A20" s="346" t="s">
        <v>1175</v>
      </c>
      <c r="B20" s="536">
        <f t="shared" si="0"/>
        <v>7218.724</v>
      </c>
      <c r="C20" s="562">
        <v>0</v>
      </c>
      <c r="D20" s="562">
        <v>0</v>
      </c>
      <c r="E20" s="347">
        <v>3748.031</v>
      </c>
      <c r="F20" s="348">
        <v>3470.693</v>
      </c>
      <c r="G20" s="349"/>
      <c r="I20" s="349"/>
    </row>
    <row r="21" spans="1:9" ht="12.75">
      <c r="A21" s="346" t="s">
        <v>1176</v>
      </c>
      <c r="B21" s="536">
        <f t="shared" si="0"/>
        <v>2484</v>
      </c>
      <c r="C21" s="562">
        <v>0</v>
      </c>
      <c r="D21" s="562">
        <v>0</v>
      </c>
      <c r="E21" s="562">
        <v>0</v>
      </c>
      <c r="F21" s="348">
        <v>2484</v>
      </c>
      <c r="G21" s="349"/>
      <c r="I21" s="349"/>
    </row>
    <row r="22" spans="1:9" ht="12.75">
      <c r="A22" s="346" t="s">
        <v>1177</v>
      </c>
      <c r="B22" s="536">
        <f t="shared" si="0"/>
        <v>7000</v>
      </c>
      <c r="C22" s="562">
        <v>0</v>
      </c>
      <c r="D22" s="562">
        <v>0</v>
      </c>
      <c r="E22" s="562">
        <v>0</v>
      </c>
      <c r="F22" s="348">
        <v>7000</v>
      </c>
      <c r="G22" s="349"/>
      <c r="I22" s="349"/>
    </row>
    <row r="23" spans="1:9" ht="12.75">
      <c r="A23" s="346" t="s">
        <v>1178</v>
      </c>
      <c r="B23" s="536">
        <f t="shared" si="0"/>
        <v>2801.76</v>
      </c>
      <c r="C23" s="562">
        <v>0</v>
      </c>
      <c r="D23" s="562">
        <v>0</v>
      </c>
      <c r="E23" s="562">
        <v>0</v>
      </c>
      <c r="F23" s="348">
        <f>6054-3252.24</f>
        <v>2801.76</v>
      </c>
      <c r="G23" s="349"/>
      <c r="I23" s="349"/>
    </row>
    <row r="24" spans="1:9" ht="25.5">
      <c r="A24" s="401" t="s">
        <v>1179</v>
      </c>
      <c r="B24" s="535">
        <f>C24+D24+E24+F24</f>
        <v>2474</v>
      </c>
      <c r="C24" s="535">
        <v>1855</v>
      </c>
      <c r="D24" s="563">
        <v>0</v>
      </c>
      <c r="E24" s="535">
        <v>0</v>
      </c>
      <c r="F24" s="537">
        <v>619</v>
      </c>
      <c r="G24" s="349"/>
      <c r="I24" s="349"/>
    </row>
    <row r="25" spans="1:9" ht="51">
      <c r="A25" s="401" t="s">
        <v>1180</v>
      </c>
      <c r="B25" s="535">
        <f>C25+D25+E25+F25</f>
        <v>1877.7</v>
      </c>
      <c r="C25" s="535">
        <v>1877.7</v>
      </c>
      <c r="D25" s="563">
        <v>0</v>
      </c>
      <c r="E25" s="563">
        <v>0</v>
      </c>
      <c r="F25" s="563">
        <v>0</v>
      </c>
      <c r="G25" s="349"/>
      <c r="I25" s="349"/>
    </row>
    <row r="26" spans="1:9" ht="25.5">
      <c r="A26" s="401" t="s">
        <v>957</v>
      </c>
      <c r="B26" s="535">
        <f>C26+D26+E26+F26</f>
        <v>210</v>
      </c>
      <c r="C26" s="535">
        <f>136+74</f>
        <v>210</v>
      </c>
      <c r="D26" s="564">
        <v>0</v>
      </c>
      <c r="E26" s="564">
        <v>0</v>
      </c>
      <c r="F26" s="564">
        <v>0</v>
      </c>
      <c r="G26" s="349"/>
      <c r="I26" s="349"/>
    </row>
    <row r="27" spans="1:6" ht="15" customHeight="1">
      <c r="A27" s="343" t="s">
        <v>958</v>
      </c>
      <c r="B27" s="344">
        <f>SUM(C27:F27)</f>
        <v>3516.9</v>
      </c>
      <c r="C27" s="344">
        <f>C28+C29+C30</f>
        <v>2637.75</v>
      </c>
      <c r="D27" s="264">
        <f>D28+D29+D30</f>
        <v>0</v>
      </c>
      <c r="E27" s="344">
        <f>E28+E29+E30</f>
        <v>0</v>
      </c>
      <c r="F27" s="344">
        <f>F28+F29+F30</f>
        <v>879.1500000000001</v>
      </c>
    </row>
    <row r="28" spans="1:6" ht="12.75">
      <c r="A28" s="350" t="s">
        <v>959</v>
      </c>
      <c r="B28" s="347">
        <v>407.22</v>
      </c>
      <c r="C28" s="347">
        <v>305.25</v>
      </c>
      <c r="D28" s="565">
        <v>0</v>
      </c>
      <c r="E28" s="347">
        <v>0</v>
      </c>
      <c r="F28" s="348">
        <f>B28-C28</f>
        <v>101.97000000000003</v>
      </c>
    </row>
    <row r="29" spans="1:6" ht="12.75">
      <c r="A29" s="350" t="s">
        <v>960</v>
      </c>
      <c r="B29" s="347">
        <v>1776.96</v>
      </c>
      <c r="C29" s="347">
        <v>1332.75</v>
      </c>
      <c r="D29" s="565">
        <v>0</v>
      </c>
      <c r="E29" s="347">
        <v>0</v>
      </c>
      <c r="F29" s="348">
        <f>B29-C29</f>
        <v>444.21000000000004</v>
      </c>
    </row>
    <row r="30" spans="1:6" ht="12.75">
      <c r="A30" s="350" t="s">
        <v>961</v>
      </c>
      <c r="B30" s="347">
        <v>1332.72</v>
      </c>
      <c r="C30" s="347">
        <v>999.75</v>
      </c>
      <c r="D30" s="565">
        <v>0</v>
      </c>
      <c r="E30" s="347">
        <v>0</v>
      </c>
      <c r="F30" s="348">
        <f>B30-C30</f>
        <v>332.97</v>
      </c>
    </row>
    <row r="31" spans="1:6" ht="25.5">
      <c r="A31" s="351" t="s">
        <v>962</v>
      </c>
      <c r="B31" s="344">
        <f>SUM(C31:F31)</f>
        <v>24911.399999999998</v>
      </c>
      <c r="C31" s="344">
        <f>C33+C34+C35+C36</f>
        <v>22171.399999999998</v>
      </c>
      <c r="D31" s="344">
        <f>D33+D34+D35+D36</f>
        <v>0</v>
      </c>
      <c r="E31" s="344">
        <f>E33+E34+E35+E36</f>
        <v>0</v>
      </c>
      <c r="F31" s="344">
        <f>F33+F34+F35+F36</f>
        <v>2740</v>
      </c>
    </row>
    <row r="32" spans="1:9" ht="51.75" customHeight="1" hidden="1">
      <c r="A32" s="352" t="s">
        <v>963</v>
      </c>
      <c r="B32" s="344">
        <f>SUM(C32:F32)</f>
        <v>0</v>
      </c>
      <c r="C32" s="344">
        <f>845-845</f>
        <v>0</v>
      </c>
      <c r="D32" s="565">
        <v>0</v>
      </c>
      <c r="E32" s="566"/>
      <c r="F32" s="566"/>
      <c r="I32" s="353"/>
    </row>
    <row r="33" spans="1:9" ht="12.75">
      <c r="A33" s="354" t="s">
        <v>964</v>
      </c>
      <c r="B33" s="347">
        <f>C33+D33+E33+F33</f>
        <v>10955.3</v>
      </c>
      <c r="C33" s="347">
        <v>8215.3</v>
      </c>
      <c r="D33" s="344">
        <v>0</v>
      </c>
      <c r="E33" s="344">
        <v>0</v>
      </c>
      <c r="F33" s="344">
        <v>2740</v>
      </c>
      <c r="I33" s="353"/>
    </row>
    <row r="34" spans="1:6" ht="12.75">
      <c r="A34" s="354" t="s">
        <v>965</v>
      </c>
      <c r="B34" s="347">
        <f>SUM(C34:F34)</f>
        <v>13200</v>
      </c>
      <c r="C34" s="347">
        <v>13200</v>
      </c>
      <c r="D34" s="344">
        <v>0</v>
      </c>
      <c r="E34" s="344">
        <v>0</v>
      </c>
      <c r="F34" s="344">
        <v>0</v>
      </c>
    </row>
    <row r="35" spans="1:6" ht="24">
      <c r="A35" s="354" t="s">
        <v>966</v>
      </c>
      <c r="B35" s="347">
        <f>SUM(C35:F35)</f>
        <v>600</v>
      </c>
      <c r="C35" s="347">
        <v>600</v>
      </c>
      <c r="D35" s="344">
        <v>0</v>
      </c>
      <c r="E35" s="344">
        <v>0</v>
      </c>
      <c r="F35" s="344">
        <v>0</v>
      </c>
    </row>
    <row r="36" spans="1:6" ht="24">
      <c r="A36" s="354" t="s">
        <v>967</v>
      </c>
      <c r="B36" s="347">
        <f>SUM(C36:F36)</f>
        <v>156.1</v>
      </c>
      <c r="C36" s="347">
        <v>156.1</v>
      </c>
      <c r="D36" s="344">
        <v>0</v>
      </c>
      <c r="E36" s="344">
        <v>0</v>
      </c>
      <c r="F36" s="344">
        <v>0</v>
      </c>
    </row>
    <row r="37" spans="1:6" s="356" customFormat="1" ht="14.25">
      <c r="A37" s="355" t="s">
        <v>968</v>
      </c>
      <c r="B37" s="359">
        <f>SUM(C37:F37)</f>
        <v>232348.48099999997</v>
      </c>
      <c r="C37" s="359">
        <f>C8+C9+C10+C12+C27+C31</f>
        <v>136452.582</v>
      </c>
      <c r="D37" s="359">
        <f>D8+D9+D10+D12+D27+D31</f>
        <v>30444.8</v>
      </c>
      <c r="E37" s="359">
        <f>E8+E9+E10+E12+E27+E31</f>
        <v>30830.512</v>
      </c>
      <c r="F37" s="359">
        <f>F8+F9+F10+F12+F27+F31</f>
        <v>34620.587</v>
      </c>
    </row>
    <row r="38" spans="1:6" s="356" customFormat="1" ht="25.5">
      <c r="A38" s="49" t="s">
        <v>1150</v>
      </c>
      <c r="B38" s="535">
        <f>C38+D38+E38+F38</f>
        <v>2975.49</v>
      </c>
      <c r="C38" s="535">
        <v>2975.49</v>
      </c>
      <c r="D38" s="344">
        <v>0</v>
      </c>
      <c r="E38" s="344">
        <v>0</v>
      </c>
      <c r="F38" s="344">
        <v>0</v>
      </c>
    </row>
    <row r="39" spans="1:6" s="356" customFormat="1" ht="12.75">
      <c r="A39" s="561" t="s">
        <v>1200</v>
      </c>
      <c r="B39" s="344">
        <f>C39+D39+F39+E39</f>
        <v>13521.6</v>
      </c>
      <c r="C39" s="344">
        <v>5450</v>
      </c>
      <c r="D39" s="344">
        <v>8071.6</v>
      </c>
      <c r="E39" s="344"/>
      <c r="F39" s="344"/>
    </row>
    <row r="40" spans="1:6" s="356" customFormat="1" ht="25.5">
      <c r="A40" s="280" t="s">
        <v>871</v>
      </c>
      <c r="B40" s="535">
        <f>C40+D40+E40+F40</f>
        <v>12674.993</v>
      </c>
      <c r="C40" s="535">
        <v>12674.993</v>
      </c>
      <c r="D40" s="344">
        <v>0</v>
      </c>
      <c r="E40" s="344">
        <v>0</v>
      </c>
      <c r="F40" s="344">
        <v>0</v>
      </c>
    </row>
    <row r="41" spans="1:6" s="356" customFormat="1" ht="25.5">
      <c r="A41" s="262" t="s">
        <v>847</v>
      </c>
      <c r="B41" s="344">
        <f>C41+D41+F41+E41</f>
        <v>22000</v>
      </c>
      <c r="C41" s="344">
        <v>12750</v>
      </c>
      <c r="D41" s="344">
        <v>0</v>
      </c>
      <c r="E41" s="344">
        <v>5000</v>
      </c>
      <c r="F41" s="344">
        <v>4250</v>
      </c>
    </row>
    <row r="42" spans="1:6" s="356" customFormat="1" ht="25.5">
      <c r="A42" s="267" t="s">
        <v>1201</v>
      </c>
      <c r="B42" s="344">
        <f>C42+D42+F42+E42</f>
        <v>39000</v>
      </c>
      <c r="C42" s="344">
        <v>29250</v>
      </c>
      <c r="D42" s="344">
        <v>9750</v>
      </c>
      <c r="E42" s="344">
        <v>0</v>
      </c>
      <c r="F42" s="344">
        <v>0</v>
      </c>
    </row>
    <row r="43" spans="1:6" s="356" customFormat="1" ht="25.5">
      <c r="A43" s="357" t="s">
        <v>969</v>
      </c>
      <c r="B43" s="344">
        <f>C43+D43+F43+E43</f>
        <v>172732.5</v>
      </c>
      <c r="C43" s="344">
        <v>129550</v>
      </c>
      <c r="D43" s="344">
        <v>43182.5</v>
      </c>
      <c r="E43" s="344">
        <v>0</v>
      </c>
      <c r="F43" s="344">
        <v>0</v>
      </c>
    </row>
    <row r="44" spans="1:6" s="356" customFormat="1" ht="54.75" customHeight="1">
      <c r="A44" s="2" t="s">
        <v>885</v>
      </c>
      <c r="B44" s="344">
        <f aca="true" t="shared" si="1" ref="B44:B57">C44+D44+F44+E44</f>
        <v>550</v>
      </c>
      <c r="C44" s="344">
        <v>550</v>
      </c>
      <c r="D44" s="344">
        <v>0</v>
      </c>
      <c r="E44" s="344">
        <v>0</v>
      </c>
      <c r="F44" s="344">
        <v>0</v>
      </c>
    </row>
    <row r="45" spans="1:6" s="356" customFormat="1" ht="51">
      <c r="A45" s="2" t="s">
        <v>886</v>
      </c>
      <c r="B45" s="344">
        <f t="shared" si="1"/>
        <v>550</v>
      </c>
      <c r="C45" s="344">
        <v>550</v>
      </c>
      <c r="D45" s="344">
        <v>0</v>
      </c>
      <c r="E45" s="344">
        <v>0</v>
      </c>
      <c r="F45" s="344">
        <v>0</v>
      </c>
    </row>
    <row r="46" spans="1:6" s="356" customFormat="1" ht="57" customHeight="1">
      <c r="A46" s="2" t="s">
        <v>150</v>
      </c>
      <c r="B46" s="344">
        <f t="shared" si="1"/>
        <v>1875</v>
      </c>
      <c r="C46" s="344">
        <v>1875</v>
      </c>
      <c r="D46" s="344">
        <v>0</v>
      </c>
      <c r="E46" s="344">
        <v>0</v>
      </c>
      <c r="F46" s="344">
        <v>0</v>
      </c>
    </row>
    <row r="47" spans="1:6" s="356" customFormat="1" ht="51">
      <c r="A47" s="358" t="s">
        <v>887</v>
      </c>
      <c r="B47" s="344">
        <f t="shared" si="1"/>
        <v>1575</v>
      </c>
      <c r="C47" s="344">
        <v>1575</v>
      </c>
      <c r="D47" s="344">
        <v>0</v>
      </c>
      <c r="E47" s="344">
        <v>0</v>
      </c>
      <c r="F47" s="344">
        <v>0</v>
      </c>
    </row>
    <row r="48" spans="1:6" s="356" customFormat="1" ht="51">
      <c r="A48" s="358" t="s">
        <v>152</v>
      </c>
      <c r="B48" s="344">
        <f t="shared" si="1"/>
        <v>600</v>
      </c>
      <c r="C48" s="344">
        <v>600</v>
      </c>
      <c r="D48" s="344">
        <v>0</v>
      </c>
      <c r="E48" s="344">
        <v>0</v>
      </c>
      <c r="F48" s="344">
        <v>0</v>
      </c>
    </row>
    <row r="49" spans="1:6" s="356" customFormat="1" ht="51">
      <c r="A49" s="2" t="s">
        <v>153</v>
      </c>
      <c r="B49" s="344">
        <f t="shared" si="1"/>
        <v>1100</v>
      </c>
      <c r="C49" s="344">
        <v>1100</v>
      </c>
      <c r="D49" s="344">
        <v>0</v>
      </c>
      <c r="E49" s="344">
        <v>0</v>
      </c>
      <c r="F49" s="344">
        <v>0</v>
      </c>
    </row>
    <row r="50" spans="1:6" s="356" customFormat="1" ht="63.75">
      <c r="A50" s="119" t="s">
        <v>888</v>
      </c>
      <c r="B50" s="344">
        <f t="shared" si="1"/>
        <v>2231</v>
      </c>
      <c r="C50" s="344">
        <v>2231</v>
      </c>
      <c r="D50" s="344">
        <v>0</v>
      </c>
      <c r="E50" s="344">
        <v>0</v>
      </c>
      <c r="F50" s="344">
        <v>0</v>
      </c>
    </row>
    <row r="51" spans="1:6" s="356" customFormat="1" ht="54.75" customHeight="1">
      <c r="A51" s="2" t="s">
        <v>154</v>
      </c>
      <c r="B51" s="344">
        <f t="shared" si="1"/>
        <v>1600</v>
      </c>
      <c r="C51" s="344">
        <v>1350</v>
      </c>
      <c r="D51" s="344">
        <v>0</v>
      </c>
      <c r="E51" s="344">
        <v>0</v>
      </c>
      <c r="F51" s="344">
        <v>250</v>
      </c>
    </row>
    <row r="52" spans="1:6" s="356" customFormat="1" ht="51">
      <c r="A52" s="2" t="s">
        <v>889</v>
      </c>
      <c r="B52" s="344">
        <f t="shared" si="1"/>
        <v>825</v>
      </c>
      <c r="C52" s="344">
        <v>825</v>
      </c>
      <c r="D52" s="344">
        <v>0</v>
      </c>
      <c r="E52" s="344">
        <v>0</v>
      </c>
      <c r="F52" s="344">
        <v>0</v>
      </c>
    </row>
    <row r="53" spans="1:6" s="356" customFormat="1" ht="51">
      <c r="A53" s="2" t="s">
        <v>156</v>
      </c>
      <c r="B53" s="344">
        <f t="shared" si="1"/>
        <v>550</v>
      </c>
      <c r="C53" s="344">
        <v>550</v>
      </c>
      <c r="D53" s="344">
        <v>0</v>
      </c>
      <c r="E53" s="344">
        <v>0</v>
      </c>
      <c r="F53" s="344">
        <v>0</v>
      </c>
    </row>
    <row r="54" spans="1:6" s="356" customFormat="1" ht="51">
      <c r="A54" s="2" t="s">
        <v>894</v>
      </c>
      <c r="B54" s="344">
        <f t="shared" si="1"/>
        <v>2446.8</v>
      </c>
      <c r="C54" s="344">
        <v>1646.8</v>
      </c>
      <c r="D54" s="344">
        <v>0</v>
      </c>
      <c r="E54" s="344">
        <v>0</v>
      </c>
      <c r="F54" s="344">
        <v>800</v>
      </c>
    </row>
    <row r="55" spans="1:6" s="356" customFormat="1" ht="55.5" customHeight="1">
      <c r="A55" s="2" t="s">
        <v>895</v>
      </c>
      <c r="B55" s="344">
        <f t="shared" si="1"/>
        <v>1100</v>
      </c>
      <c r="C55" s="344">
        <v>1100</v>
      </c>
      <c r="D55" s="344">
        <v>0</v>
      </c>
      <c r="E55" s="344">
        <v>0</v>
      </c>
      <c r="F55" s="344">
        <v>0</v>
      </c>
    </row>
    <row r="56" spans="1:6" s="356" customFormat="1" ht="39" customHeight="1">
      <c r="A56" s="2" t="s">
        <v>896</v>
      </c>
      <c r="B56" s="344">
        <f t="shared" si="1"/>
        <v>1200</v>
      </c>
      <c r="C56" s="344">
        <v>700</v>
      </c>
      <c r="D56" s="344">
        <v>0</v>
      </c>
      <c r="E56" s="344">
        <v>0</v>
      </c>
      <c r="F56" s="344">
        <v>500</v>
      </c>
    </row>
    <row r="57" spans="1:6" s="356" customFormat="1" ht="51">
      <c r="A57" s="2" t="s">
        <v>162</v>
      </c>
      <c r="B57" s="344">
        <f t="shared" si="1"/>
        <v>1700</v>
      </c>
      <c r="C57" s="344">
        <v>1700</v>
      </c>
      <c r="D57" s="344">
        <v>0</v>
      </c>
      <c r="E57" s="344">
        <v>0</v>
      </c>
      <c r="F57" s="344">
        <v>0</v>
      </c>
    </row>
    <row r="58" spans="1:6" s="360" customFormat="1" ht="16.5" customHeight="1">
      <c r="A58" s="355" t="s">
        <v>970</v>
      </c>
      <c r="B58" s="359">
        <f>C58+D58+F58+E58</f>
        <v>280807.383</v>
      </c>
      <c r="C58" s="359">
        <f>SUM(C38:C57)</f>
        <v>209003.283</v>
      </c>
      <c r="D58" s="359">
        <f>SUM(D38:D57)</f>
        <v>61004.1</v>
      </c>
      <c r="E58" s="359">
        <f>SUM(E38:E57)</f>
        <v>5000</v>
      </c>
      <c r="F58" s="359">
        <f>SUM(F38:F57)</f>
        <v>5800</v>
      </c>
    </row>
    <row r="59" spans="1:6" ht="14.25">
      <c r="A59" s="361" t="s">
        <v>971</v>
      </c>
      <c r="B59" s="359">
        <f>C59+D59+F59+E59</f>
        <v>513155.864</v>
      </c>
      <c r="C59" s="359">
        <f>C37+C58</f>
        <v>345455.865</v>
      </c>
      <c r="D59" s="359">
        <f>D37+D58</f>
        <v>91448.9</v>
      </c>
      <c r="E59" s="359">
        <f>E37+E58</f>
        <v>35830.512</v>
      </c>
      <c r="F59" s="359">
        <f>F37+F58</f>
        <v>40420.587</v>
      </c>
    </row>
    <row r="61" spans="1:4" ht="14.25" customHeight="1">
      <c r="A61" s="623"/>
      <c r="B61" s="623"/>
      <c r="C61" s="363"/>
      <c r="D61" s="364"/>
    </row>
    <row r="62" spans="1:4" ht="12.75">
      <c r="A62" s="365"/>
      <c r="B62" s="366"/>
      <c r="C62" s="367"/>
      <c r="D62" s="364"/>
    </row>
    <row r="63" spans="1:4" ht="12.75">
      <c r="A63" s="365"/>
      <c r="B63" s="366"/>
      <c r="C63" s="367"/>
      <c r="D63" s="364"/>
    </row>
    <row r="64" spans="1:4" ht="12.75">
      <c r="A64" s="368"/>
      <c r="B64" s="366"/>
      <c r="C64" s="369"/>
      <c r="D64" s="364"/>
    </row>
    <row r="65" spans="1:4" ht="12.75">
      <c r="A65" s="365"/>
      <c r="B65" s="366"/>
      <c r="C65" s="364"/>
      <c r="D65" s="364"/>
    </row>
    <row r="66" spans="1:4" ht="12.75">
      <c r="A66" s="368"/>
      <c r="B66" s="366"/>
      <c r="C66" s="370"/>
      <c r="D66" s="364"/>
    </row>
    <row r="67" spans="1:4" ht="12.75">
      <c r="A67" s="365"/>
      <c r="B67" s="366"/>
      <c r="C67" s="364"/>
      <c r="D67" s="364"/>
    </row>
    <row r="68" spans="1:4" ht="12.75">
      <c r="A68" s="365"/>
      <c r="B68" s="366"/>
      <c r="C68" s="364"/>
      <c r="D68" s="364"/>
    </row>
    <row r="69" spans="1:4" ht="12.75">
      <c r="A69" s="365"/>
      <c r="B69" s="366"/>
      <c r="C69" s="364"/>
      <c r="D69" s="364"/>
    </row>
  </sheetData>
  <sheetProtection/>
  <mergeCells count="5">
    <mergeCell ref="D1:F1"/>
    <mergeCell ref="D2:F2"/>
    <mergeCell ref="D3:F3"/>
    <mergeCell ref="A5:F5"/>
    <mergeCell ref="A61:B61"/>
  </mergeCells>
  <printOptions/>
  <pageMargins left="0.3937007874015748" right="0" top="0.1968503937007874" bottom="0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7109375" style="150" customWidth="1"/>
    <col min="2" max="2" width="41.7109375" style="151" customWidth="1"/>
    <col min="3" max="3" width="36.57421875" style="150" customWidth="1"/>
    <col min="4" max="16384" width="9.140625" style="151" customWidth="1"/>
  </cols>
  <sheetData>
    <row r="1" spans="1:3" s="149" customFormat="1" ht="15">
      <c r="A1" s="148"/>
      <c r="C1" s="541" t="s">
        <v>1190</v>
      </c>
    </row>
    <row r="2" spans="1:3" s="149" customFormat="1" ht="15">
      <c r="A2" s="148"/>
      <c r="C2" s="542" t="s">
        <v>665</v>
      </c>
    </row>
    <row r="3" spans="1:3" s="149" customFormat="1" ht="15">
      <c r="A3" s="148"/>
      <c r="C3" s="567" t="s">
        <v>1203</v>
      </c>
    </row>
    <row r="5" spans="1:10" ht="34.5" customHeight="1">
      <c r="A5" s="579" t="s">
        <v>666</v>
      </c>
      <c r="B5" s="579"/>
      <c r="C5" s="579"/>
      <c r="D5" s="152"/>
      <c r="E5" s="152"/>
      <c r="F5" s="152"/>
      <c r="G5" s="152"/>
      <c r="H5" s="152"/>
      <c r="I5" s="152"/>
      <c r="J5" s="152"/>
    </row>
    <row r="6" ht="9" customHeight="1"/>
    <row r="7" spans="1:3" ht="32.25" customHeight="1">
      <c r="A7" s="153" t="s">
        <v>667</v>
      </c>
      <c r="B7" s="154" t="s">
        <v>668</v>
      </c>
      <c r="C7" s="154" t="s">
        <v>22</v>
      </c>
    </row>
    <row r="8" spans="1:3" ht="15.75">
      <c r="A8" s="155">
        <v>1</v>
      </c>
      <c r="B8" s="156" t="s">
        <v>669</v>
      </c>
      <c r="C8" s="157">
        <f>1912+2673.8</f>
        <v>4585.8</v>
      </c>
    </row>
    <row r="9" spans="1:3" ht="15.75">
      <c r="A9" s="155">
        <v>2</v>
      </c>
      <c r="B9" s="156" t="s">
        <v>670</v>
      </c>
      <c r="C9" s="157">
        <v>2800</v>
      </c>
    </row>
    <row r="10" spans="1:3" ht="15.75">
      <c r="A10" s="155">
        <v>3</v>
      </c>
      <c r="B10" s="156" t="s">
        <v>683</v>
      </c>
      <c r="C10" s="157">
        <v>1000</v>
      </c>
    </row>
    <row r="11" spans="1:3" ht="15.75">
      <c r="A11" s="155">
        <v>4</v>
      </c>
      <c r="B11" s="156" t="s">
        <v>671</v>
      </c>
      <c r="C11" s="157">
        <f>791+4545.3</f>
        <v>5336.3</v>
      </c>
    </row>
    <row r="12" spans="1:3" ht="15.75">
      <c r="A12" s="155">
        <v>5</v>
      </c>
      <c r="B12" s="156" t="s">
        <v>672</v>
      </c>
      <c r="C12" s="157">
        <f>8170+3143.8</f>
        <v>11313.8</v>
      </c>
    </row>
    <row r="13" spans="1:3" ht="15.75">
      <c r="A13" s="155">
        <v>6</v>
      </c>
      <c r="B13" s="156" t="s">
        <v>673</v>
      </c>
      <c r="C13" s="157">
        <f>7756-495</f>
        <v>7261</v>
      </c>
    </row>
    <row r="14" spans="1:3" ht="15.75">
      <c r="A14" s="155">
        <v>7</v>
      </c>
      <c r="B14" s="156" t="s">
        <v>674</v>
      </c>
      <c r="C14" s="157">
        <f>1142-442</f>
        <v>700</v>
      </c>
    </row>
    <row r="15" spans="1:3" ht="15.75">
      <c r="A15" s="155">
        <v>8</v>
      </c>
      <c r="B15" s="156" t="s">
        <v>675</v>
      </c>
      <c r="C15" s="157">
        <f>6300+1875-4909</f>
        <v>3266</v>
      </c>
    </row>
    <row r="16" spans="1:3" ht="15.75">
      <c r="A16" s="155">
        <v>9</v>
      </c>
      <c r="B16" s="156" t="s">
        <v>676</v>
      </c>
      <c r="C16" s="157">
        <f>15476.7+7500</f>
        <v>22976.7</v>
      </c>
    </row>
    <row r="17" spans="1:3" ht="15.75">
      <c r="A17" s="155">
        <v>10</v>
      </c>
      <c r="B17" s="156" t="s">
        <v>677</v>
      </c>
      <c r="C17" s="157">
        <f>5240+26.1+3200</f>
        <v>8466.1</v>
      </c>
    </row>
    <row r="18" spans="1:3" ht="15.75">
      <c r="A18" s="155">
        <v>11</v>
      </c>
      <c r="B18" s="156" t="s">
        <v>678</v>
      </c>
      <c r="C18" s="157">
        <v>1000</v>
      </c>
    </row>
    <row r="19" spans="1:3" ht="15.75">
      <c r="A19" s="155">
        <v>12</v>
      </c>
      <c r="B19" s="156" t="s">
        <v>679</v>
      </c>
      <c r="C19" s="157">
        <f>3860+3430.4+250+7400-730</f>
        <v>14210.4</v>
      </c>
    </row>
    <row r="20" spans="1:3" ht="15.75">
      <c r="A20" s="158"/>
      <c r="B20" s="159" t="s">
        <v>680</v>
      </c>
      <c r="C20" s="160">
        <f>SUM(C8:C19)</f>
        <v>82916.09999999999</v>
      </c>
    </row>
    <row r="22" spans="1:10" ht="34.5" customHeight="1" hidden="1">
      <c r="A22" s="579" t="s">
        <v>666</v>
      </c>
      <c r="B22" s="579"/>
      <c r="C22" s="579"/>
      <c r="D22" s="152"/>
      <c r="E22" s="152"/>
      <c r="F22" s="152"/>
      <c r="G22" s="152"/>
      <c r="H22" s="152"/>
      <c r="I22" s="152"/>
      <c r="J22" s="152"/>
    </row>
    <row r="23" ht="7.5" customHeight="1" hidden="1"/>
    <row r="24" spans="1:3" s="149" customFormat="1" ht="32.25" customHeight="1" hidden="1">
      <c r="A24" s="153" t="s">
        <v>667</v>
      </c>
      <c r="B24" s="161" t="s">
        <v>668</v>
      </c>
      <c r="C24" s="161" t="s">
        <v>22</v>
      </c>
    </row>
    <row r="25" spans="1:3" ht="20.25" customHeight="1" hidden="1">
      <c r="A25" s="158"/>
      <c r="B25" s="156" t="s">
        <v>681</v>
      </c>
      <c r="C25" s="162">
        <v>45000</v>
      </c>
    </row>
    <row r="26" spans="1:3" ht="15.75" customHeight="1" hidden="1">
      <c r="A26" s="158"/>
      <c r="B26" s="159" t="s">
        <v>680</v>
      </c>
      <c r="C26" s="160">
        <f>C25</f>
        <v>45000</v>
      </c>
    </row>
    <row r="27" ht="15.75" hidden="1"/>
    <row r="28" ht="11.25" customHeight="1" hidden="1"/>
    <row r="29" spans="1:10" ht="32.25" customHeight="1" hidden="1">
      <c r="A29" s="579" t="s">
        <v>682</v>
      </c>
      <c r="B29" s="579"/>
      <c r="C29" s="579"/>
      <c r="D29" s="152"/>
      <c r="E29" s="152"/>
      <c r="F29" s="152"/>
      <c r="G29" s="152"/>
      <c r="H29" s="152"/>
      <c r="I29" s="152"/>
      <c r="J29" s="152"/>
    </row>
    <row r="30" ht="10.5" customHeight="1" hidden="1"/>
    <row r="31" spans="1:3" s="149" customFormat="1" ht="25.5" customHeight="1" hidden="1">
      <c r="A31" s="153" t="s">
        <v>667</v>
      </c>
      <c r="B31" s="161" t="s">
        <v>668</v>
      </c>
      <c r="C31" s="161" t="s">
        <v>22</v>
      </c>
    </row>
    <row r="32" spans="1:3" ht="20.25" customHeight="1" hidden="1">
      <c r="A32" s="158"/>
      <c r="B32" s="156" t="s">
        <v>681</v>
      </c>
      <c r="C32" s="162">
        <v>45000</v>
      </c>
    </row>
    <row r="33" spans="1:3" ht="15.75" customHeight="1" hidden="1">
      <c r="A33" s="158"/>
      <c r="B33" s="159" t="s">
        <v>680</v>
      </c>
      <c r="C33" s="160">
        <f>C32</f>
        <v>45000</v>
      </c>
    </row>
    <row r="36" spans="1:3" ht="15.75">
      <c r="A36" s="148"/>
      <c r="B36" s="149"/>
      <c r="C36" s="541" t="s">
        <v>1181</v>
      </c>
    </row>
    <row r="37" spans="1:3" ht="15.75">
      <c r="A37" s="148"/>
      <c r="B37" s="149"/>
      <c r="C37" s="542" t="s">
        <v>665</v>
      </c>
    </row>
    <row r="38" spans="1:3" ht="15.75">
      <c r="A38" s="148"/>
      <c r="B38" s="149"/>
      <c r="C38" s="567" t="s">
        <v>1203</v>
      </c>
    </row>
    <row r="40" spans="1:3" ht="37.5" customHeight="1">
      <c r="A40" s="579" t="s">
        <v>682</v>
      </c>
      <c r="B40" s="579"/>
      <c r="C40" s="579"/>
    </row>
    <row r="42" spans="1:3" ht="15.75">
      <c r="A42" s="153" t="s">
        <v>667</v>
      </c>
      <c r="B42" s="154" t="s">
        <v>668</v>
      </c>
      <c r="C42" s="154" t="s">
        <v>22</v>
      </c>
    </row>
    <row r="43" spans="1:3" ht="15.75">
      <c r="A43" s="155">
        <v>1</v>
      </c>
      <c r="B43" s="156" t="s">
        <v>676</v>
      </c>
      <c r="C43" s="157">
        <v>8000</v>
      </c>
    </row>
    <row r="44" spans="1:3" ht="15.75">
      <c r="A44" s="155">
        <v>2</v>
      </c>
      <c r="B44" s="156" t="s">
        <v>679</v>
      </c>
      <c r="C44" s="157">
        <v>2000</v>
      </c>
    </row>
    <row r="45" spans="1:3" ht="15.75">
      <c r="A45" s="155">
        <v>3</v>
      </c>
      <c r="B45" s="156" t="s">
        <v>1068</v>
      </c>
      <c r="C45" s="157">
        <v>30000</v>
      </c>
    </row>
    <row r="46" spans="1:3" ht="15.75">
      <c r="A46" s="158"/>
      <c r="B46" s="159" t="s">
        <v>680</v>
      </c>
      <c r="C46" s="160">
        <f>SUM(C43:C45)</f>
        <v>40000</v>
      </c>
    </row>
  </sheetData>
  <sheetProtection/>
  <mergeCells count="4">
    <mergeCell ref="A40:C40"/>
    <mergeCell ref="A5:C5"/>
    <mergeCell ref="A22:C22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1">
      <selection activeCell="P3" sqref="P3"/>
    </sheetView>
  </sheetViews>
  <sheetFormatPr defaultColWidth="10.140625" defaultRowHeight="15"/>
  <cols>
    <col min="1" max="1" width="4.28125" style="65" customWidth="1"/>
    <col min="2" max="2" width="14.00390625" style="65" customWidth="1"/>
    <col min="3" max="3" width="8.7109375" style="65" customWidth="1"/>
    <col min="4" max="4" width="9.421875" style="65" customWidth="1"/>
    <col min="5" max="5" width="7.421875" style="65" customWidth="1"/>
    <col min="6" max="7" width="0" style="65" hidden="1" customWidth="1"/>
    <col min="8" max="8" width="10.140625" style="65" customWidth="1"/>
    <col min="9" max="9" width="9.421875" style="65" customWidth="1"/>
    <col min="10" max="10" width="10.140625" style="65" customWidth="1"/>
    <col min="11" max="11" width="9.28125" style="65" customWidth="1"/>
    <col min="12" max="12" width="10.140625" style="65" customWidth="1"/>
    <col min="13" max="13" width="8.140625" style="65" customWidth="1"/>
    <col min="14" max="14" width="8.00390625" style="65" customWidth="1"/>
    <col min="15" max="15" width="8.7109375" style="65" customWidth="1"/>
    <col min="16" max="16" width="10.140625" style="65" customWidth="1"/>
    <col min="17" max="17" width="8.00390625" style="65" customWidth="1"/>
    <col min="18" max="18" width="8.421875" style="65" customWidth="1"/>
    <col min="19" max="21" width="0" style="65" hidden="1" customWidth="1"/>
    <col min="22" max="22" width="3.8515625" style="65" customWidth="1"/>
    <col min="23" max="23" width="13.8515625" style="65" customWidth="1"/>
    <col min="24" max="29" width="10.140625" style="65" customWidth="1"/>
    <col min="30" max="30" width="8.421875" style="65" customWidth="1"/>
    <col min="31" max="31" width="8.7109375" style="65" customWidth="1"/>
    <col min="32" max="32" width="10.140625" style="65" customWidth="1"/>
    <col min="33" max="33" width="8.7109375" style="65" customWidth="1"/>
    <col min="34" max="34" width="8.57421875" style="65" customWidth="1"/>
    <col min="35" max="37" width="10.140625" style="65" customWidth="1"/>
    <col min="38" max="38" width="19.28125" style="65" customWidth="1"/>
    <col min="39" max="16384" width="10.140625" style="65" customWidth="1"/>
  </cols>
  <sheetData>
    <row r="1" spans="1:35" ht="15">
      <c r="A1" s="213"/>
      <c r="B1" s="214"/>
      <c r="C1" s="215"/>
      <c r="D1" s="213"/>
      <c r="E1" s="213"/>
      <c r="F1" s="213"/>
      <c r="G1" s="213"/>
      <c r="H1" s="213"/>
      <c r="I1" s="213"/>
      <c r="J1" s="213"/>
      <c r="K1" s="215"/>
      <c r="L1" s="213"/>
      <c r="M1" s="215"/>
      <c r="N1" s="215"/>
      <c r="O1" s="215"/>
      <c r="P1" s="216" t="s">
        <v>1191</v>
      </c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6"/>
      <c r="AC1" s="215"/>
      <c r="AD1" s="215"/>
      <c r="AE1" s="215"/>
      <c r="AF1" s="215"/>
      <c r="AI1" s="215"/>
    </row>
    <row r="2" spans="1:35" ht="15">
      <c r="A2" s="213"/>
      <c r="B2" s="214"/>
      <c r="C2" s="215"/>
      <c r="D2" s="213"/>
      <c r="E2" s="213"/>
      <c r="F2" s="213"/>
      <c r="G2" s="213"/>
      <c r="H2" s="213"/>
      <c r="I2" s="213"/>
      <c r="J2" s="213"/>
      <c r="K2" s="215"/>
      <c r="L2" s="213"/>
      <c r="M2" s="215"/>
      <c r="N2" s="215"/>
      <c r="O2" s="215"/>
      <c r="P2" s="216" t="s">
        <v>665</v>
      </c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  <c r="AC2" s="215"/>
      <c r="AD2" s="215"/>
      <c r="AE2" s="215"/>
      <c r="AF2" s="215"/>
      <c r="AI2" s="215"/>
    </row>
    <row r="3" spans="1:35" ht="15">
      <c r="A3" s="213"/>
      <c r="B3" s="214"/>
      <c r="C3" s="215"/>
      <c r="D3" s="213"/>
      <c r="E3" s="213"/>
      <c r="F3" s="213"/>
      <c r="G3" s="213"/>
      <c r="H3" s="213"/>
      <c r="I3" s="213"/>
      <c r="J3" s="213"/>
      <c r="K3" s="215"/>
      <c r="L3" s="213"/>
      <c r="M3" s="215"/>
      <c r="N3" s="215"/>
      <c r="O3" s="215"/>
      <c r="P3" s="214" t="s">
        <v>1202</v>
      </c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4"/>
      <c r="AC3" s="215"/>
      <c r="AD3" s="215"/>
      <c r="AE3" s="215"/>
      <c r="AF3" s="215"/>
      <c r="AI3" s="215"/>
    </row>
    <row r="4" spans="1:35" ht="15">
      <c r="A4" s="624" t="s">
        <v>797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217"/>
      <c r="AH4" s="217"/>
      <c r="AI4" s="215"/>
    </row>
    <row r="5" spans="1:35" ht="191.25">
      <c r="A5" s="219" t="s">
        <v>747</v>
      </c>
      <c r="B5" s="219" t="s">
        <v>798</v>
      </c>
      <c r="C5" s="220" t="s">
        <v>634</v>
      </c>
      <c r="D5" s="220" t="s">
        <v>799</v>
      </c>
      <c r="E5" s="220" t="s">
        <v>636</v>
      </c>
      <c r="F5" s="220" t="s">
        <v>800</v>
      </c>
      <c r="G5" s="220" t="s">
        <v>801</v>
      </c>
      <c r="H5" s="220" t="s">
        <v>97</v>
      </c>
      <c r="I5" s="220" t="s">
        <v>637</v>
      </c>
      <c r="J5" s="220" t="s">
        <v>638</v>
      </c>
      <c r="K5" s="220" t="s">
        <v>802</v>
      </c>
      <c r="L5" s="220" t="s">
        <v>803</v>
      </c>
      <c r="M5" s="220" t="s">
        <v>641</v>
      </c>
      <c r="N5" s="220" t="s">
        <v>642</v>
      </c>
      <c r="O5" s="220" t="s">
        <v>643</v>
      </c>
      <c r="P5" s="220" t="s">
        <v>804</v>
      </c>
      <c r="Q5" s="220" t="s">
        <v>101</v>
      </c>
      <c r="R5" s="220" t="s">
        <v>109</v>
      </c>
      <c r="S5" s="220" t="s">
        <v>805</v>
      </c>
      <c r="T5" s="220" t="s">
        <v>806</v>
      </c>
      <c r="U5" s="220"/>
      <c r="V5" s="219" t="s">
        <v>747</v>
      </c>
      <c r="W5" s="219" t="s">
        <v>798</v>
      </c>
      <c r="X5" s="221" t="s">
        <v>138</v>
      </c>
      <c r="Y5" s="221" t="s">
        <v>807</v>
      </c>
      <c r="Z5" s="220" t="s">
        <v>646</v>
      </c>
      <c r="AA5" s="220" t="s">
        <v>13</v>
      </c>
      <c r="AB5" s="220" t="s">
        <v>647</v>
      </c>
      <c r="AC5" s="220" t="s">
        <v>648</v>
      </c>
      <c r="AD5" s="220" t="s">
        <v>649</v>
      </c>
      <c r="AE5" s="220" t="s">
        <v>650</v>
      </c>
      <c r="AF5" s="220" t="s">
        <v>651</v>
      </c>
      <c r="AG5" s="220" t="s">
        <v>692</v>
      </c>
      <c r="AH5" s="220" t="s">
        <v>139</v>
      </c>
      <c r="AI5" s="222" t="s">
        <v>698</v>
      </c>
    </row>
    <row r="6" spans="1:35" ht="15">
      <c r="A6" s="240">
        <v>1</v>
      </c>
      <c r="B6" s="223" t="s">
        <v>808</v>
      </c>
      <c r="C6" s="224">
        <v>54</v>
      </c>
      <c r="D6" s="224">
        <v>100</v>
      </c>
      <c r="E6" s="225">
        <v>1.5</v>
      </c>
      <c r="F6" s="225"/>
      <c r="G6" s="226"/>
      <c r="H6" s="226">
        <v>35</v>
      </c>
      <c r="I6" s="218">
        <v>98.1</v>
      </c>
      <c r="J6" s="228">
        <v>82.2</v>
      </c>
      <c r="K6" s="227">
        <v>18.5</v>
      </c>
      <c r="L6" s="228">
        <v>14</v>
      </c>
      <c r="M6" s="228">
        <v>97</v>
      </c>
      <c r="N6" s="228">
        <v>21.7</v>
      </c>
      <c r="O6" s="229">
        <f>101.97+20.46</f>
        <v>122.43</v>
      </c>
      <c r="P6" s="230">
        <v>317.048</v>
      </c>
      <c r="Q6" s="231">
        <v>24</v>
      </c>
      <c r="R6" s="232">
        <v>3.1</v>
      </c>
      <c r="S6" s="231"/>
      <c r="T6" s="231"/>
      <c r="U6" s="231"/>
      <c r="V6" s="240">
        <v>1</v>
      </c>
      <c r="W6" s="223" t="s">
        <v>808</v>
      </c>
      <c r="X6" s="231">
        <v>106</v>
      </c>
      <c r="Y6" s="231">
        <v>35</v>
      </c>
      <c r="Z6" s="231">
        <v>0</v>
      </c>
      <c r="AA6" s="231">
        <f>Z6/100*1</f>
        <v>0</v>
      </c>
      <c r="AB6" s="231">
        <v>0</v>
      </c>
      <c r="AC6" s="231">
        <v>0</v>
      </c>
      <c r="AD6" s="231">
        <v>0</v>
      </c>
      <c r="AE6" s="231">
        <v>0</v>
      </c>
      <c r="AF6" s="231">
        <v>56</v>
      </c>
      <c r="AG6" s="231">
        <v>0</v>
      </c>
      <c r="AH6" s="231">
        <v>0</v>
      </c>
      <c r="AI6" s="233">
        <f>C6+D6+E6+F6+G6+H6+I6+J6+K6+L6+M6+N6+O6+P6+Q6+S6+R6+X6+Y6+Z6+AA6+AB6+AC6+AE6+AF6+AD6+AG6+AH6</f>
        <v>1185.578</v>
      </c>
    </row>
    <row r="7" spans="1:35" ht="15">
      <c r="A7" s="218">
        <v>2</v>
      </c>
      <c r="B7" s="223" t="s">
        <v>809</v>
      </c>
      <c r="C7" s="224">
        <v>97</v>
      </c>
      <c r="D7" s="224">
        <v>100</v>
      </c>
      <c r="E7" s="225">
        <v>1.5</v>
      </c>
      <c r="F7" s="225"/>
      <c r="G7" s="226"/>
      <c r="H7" s="226">
        <v>49</v>
      </c>
      <c r="I7" s="218">
        <v>73.6</v>
      </c>
      <c r="J7" s="228">
        <v>198.5</v>
      </c>
      <c r="K7" s="227">
        <v>49.4</v>
      </c>
      <c r="L7" s="228">
        <v>14</v>
      </c>
      <c r="M7" s="228">
        <v>16</v>
      </c>
      <c r="N7" s="228">
        <v>31.9</v>
      </c>
      <c r="O7" s="229">
        <f>444.21+89.28</f>
        <v>533.49</v>
      </c>
      <c r="P7" s="230">
        <v>211.366</v>
      </c>
      <c r="Q7" s="231">
        <v>1.5</v>
      </c>
      <c r="R7" s="224">
        <v>0</v>
      </c>
      <c r="S7" s="231"/>
      <c r="T7" s="231"/>
      <c r="U7" s="231"/>
      <c r="V7" s="218">
        <v>2</v>
      </c>
      <c r="W7" s="223" t="s">
        <v>809</v>
      </c>
      <c r="X7" s="231">
        <f>53+53</f>
        <v>106</v>
      </c>
      <c r="Y7" s="231">
        <f>17+18</f>
        <v>35</v>
      </c>
      <c r="Z7" s="231">
        <f>500+800+2673.8</f>
        <v>3973.8</v>
      </c>
      <c r="AA7" s="231">
        <v>39.7</v>
      </c>
      <c r="AB7" s="231">
        <v>0</v>
      </c>
      <c r="AC7" s="231">
        <f>67.5</f>
        <v>67.5</v>
      </c>
      <c r="AD7" s="231">
        <v>0</v>
      </c>
      <c r="AE7" s="231">
        <v>0</v>
      </c>
      <c r="AF7" s="231">
        <v>22</v>
      </c>
      <c r="AG7" s="231">
        <v>0</v>
      </c>
      <c r="AH7" s="231">
        <v>0</v>
      </c>
      <c r="AI7" s="233">
        <f aca="true" t="shared" si="0" ref="AI7:AI25">C7+D7+E7+F7+G7+H7+I7+J7+K7+L7+M7+N7+O7+P7+Q7+S7+R7+X7+Y7+Z7+AA7+AB7+AC7+AE7+AF7+AD7+AG7+AH7</f>
        <v>5621.256</v>
      </c>
    </row>
    <row r="8" spans="1:35" ht="15">
      <c r="A8" s="218">
        <v>3</v>
      </c>
      <c r="B8" s="223" t="s">
        <v>810</v>
      </c>
      <c r="C8" s="224">
        <v>98</v>
      </c>
      <c r="D8" s="224">
        <v>100</v>
      </c>
      <c r="E8" s="225">
        <v>1.5</v>
      </c>
      <c r="F8" s="225"/>
      <c r="G8" s="226"/>
      <c r="H8" s="226">
        <v>140</v>
      </c>
      <c r="I8" s="218">
        <v>122.6</v>
      </c>
      <c r="J8" s="228">
        <v>287.3</v>
      </c>
      <c r="K8" s="227">
        <v>102</v>
      </c>
      <c r="L8" s="228">
        <v>46</v>
      </c>
      <c r="M8" s="228">
        <v>24</v>
      </c>
      <c r="N8" s="228">
        <v>44.2</v>
      </c>
      <c r="O8" s="229">
        <f>1036.56+52.08</f>
        <v>1088.6399999999999</v>
      </c>
      <c r="P8" s="230">
        <v>422.732</v>
      </c>
      <c r="Q8" s="231">
        <v>276</v>
      </c>
      <c r="R8" s="232">
        <v>27.6</v>
      </c>
      <c r="S8" s="231"/>
      <c r="T8" s="231"/>
      <c r="U8" s="231"/>
      <c r="V8" s="218">
        <v>3</v>
      </c>
      <c r="W8" s="223" t="s">
        <v>810</v>
      </c>
      <c r="X8" s="231">
        <f>211-158</f>
        <v>53</v>
      </c>
      <c r="Y8" s="231">
        <f>70-52</f>
        <v>18</v>
      </c>
      <c r="Z8" s="231">
        <v>1320</v>
      </c>
      <c r="AA8" s="231">
        <v>13.2</v>
      </c>
      <c r="AB8" s="231">
        <v>2484</v>
      </c>
      <c r="AC8" s="231">
        <v>72</v>
      </c>
      <c r="AD8" s="231">
        <v>0</v>
      </c>
      <c r="AE8" s="231">
        <v>0</v>
      </c>
      <c r="AF8" s="231">
        <v>78</v>
      </c>
      <c r="AG8" s="231">
        <v>0</v>
      </c>
      <c r="AH8" s="231">
        <v>0</v>
      </c>
      <c r="AI8" s="233">
        <f t="shared" si="0"/>
        <v>6818.772</v>
      </c>
    </row>
    <row r="9" spans="1:35" ht="15">
      <c r="A9" s="218">
        <v>4</v>
      </c>
      <c r="B9" s="223" t="s">
        <v>811</v>
      </c>
      <c r="C9" s="224">
        <v>8</v>
      </c>
      <c r="D9" s="224">
        <v>200</v>
      </c>
      <c r="E9" s="225">
        <v>3</v>
      </c>
      <c r="F9" s="225"/>
      <c r="G9" s="226"/>
      <c r="H9" s="226">
        <v>798</v>
      </c>
      <c r="I9" s="218">
        <v>49.1</v>
      </c>
      <c r="J9" s="228">
        <v>50.2</v>
      </c>
      <c r="K9" s="227">
        <v>553.1</v>
      </c>
      <c r="L9" s="228">
        <v>11</v>
      </c>
      <c r="M9" s="228">
        <v>2</v>
      </c>
      <c r="N9" s="228">
        <v>8.8</v>
      </c>
      <c r="O9" s="239">
        <v>0</v>
      </c>
      <c r="P9" s="238">
        <v>0</v>
      </c>
      <c r="Q9" s="231">
        <v>0</v>
      </c>
      <c r="R9" s="224">
        <v>0</v>
      </c>
      <c r="S9" s="231"/>
      <c r="T9" s="231"/>
      <c r="U9" s="231"/>
      <c r="V9" s="218">
        <v>4</v>
      </c>
      <c r="W9" s="223" t="s">
        <v>811</v>
      </c>
      <c r="X9" s="231">
        <v>43</v>
      </c>
      <c r="Y9" s="231">
        <v>14</v>
      </c>
      <c r="Z9" s="231">
        <v>0</v>
      </c>
      <c r="AA9" s="231">
        <v>0</v>
      </c>
      <c r="AB9" s="231">
        <v>0</v>
      </c>
      <c r="AC9" s="231">
        <v>0</v>
      </c>
      <c r="AD9" s="231">
        <v>0</v>
      </c>
      <c r="AE9" s="231">
        <v>0</v>
      </c>
      <c r="AF9" s="231">
        <v>17</v>
      </c>
      <c r="AG9" s="231">
        <v>2800</v>
      </c>
      <c r="AH9" s="231">
        <v>56</v>
      </c>
      <c r="AI9" s="233">
        <f t="shared" si="0"/>
        <v>4613.2</v>
      </c>
    </row>
    <row r="10" spans="1:35" ht="15">
      <c r="A10" s="218">
        <v>5</v>
      </c>
      <c r="B10" s="223" t="s">
        <v>812</v>
      </c>
      <c r="C10" s="224">
        <v>191</v>
      </c>
      <c r="D10" s="224">
        <v>100</v>
      </c>
      <c r="E10" s="225">
        <v>1.5</v>
      </c>
      <c r="F10" s="225"/>
      <c r="G10" s="226"/>
      <c r="H10" s="226">
        <v>140</v>
      </c>
      <c r="I10" s="218">
        <v>98.1</v>
      </c>
      <c r="J10" s="228">
        <v>234.8</v>
      </c>
      <c r="K10" s="227">
        <v>102</v>
      </c>
      <c r="L10" s="228">
        <v>11</v>
      </c>
      <c r="M10" s="228">
        <v>72</v>
      </c>
      <c r="N10" s="228">
        <v>56.7</v>
      </c>
      <c r="O10" s="229">
        <f>666.36+33.48</f>
        <v>699.84</v>
      </c>
      <c r="P10" s="230">
        <v>369.89</v>
      </c>
      <c r="Q10" s="231">
        <v>190.5</v>
      </c>
      <c r="R10" s="232">
        <v>19</v>
      </c>
      <c r="S10" s="231"/>
      <c r="T10" s="231"/>
      <c r="U10" s="231"/>
      <c r="V10" s="218">
        <v>5</v>
      </c>
      <c r="W10" s="223" t="s">
        <v>812</v>
      </c>
      <c r="X10" s="231">
        <v>53</v>
      </c>
      <c r="Y10" s="231">
        <v>17</v>
      </c>
      <c r="Z10" s="231">
        <v>0</v>
      </c>
      <c r="AA10" s="231">
        <v>0</v>
      </c>
      <c r="AB10" s="231">
        <f>5889-5889</f>
        <v>0</v>
      </c>
      <c r="AC10" s="231">
        <f>171-12.2</f>
        <v>158.8</v>
      </c>
      <c r="AD10" s="231">
        <v>0</v>
      </c>
      <c r="AE10" s="231">
        <v>0</v>
      </c>
      <c r="AF10" s="231">
        <v>112</v>
      </c>
      <c r="AG10" s="231">
        <v>0</v>
      </c>
      <c r="AH10" s="231">
        <v>0</v>
      </c>
      <c r="AI10" s="233">
        <f t="shared" si="0"/>
        <v>2627.13</v>
      </c>
    </row>
    <row r="11" spans="1:35" ht="15">
      <c r="A11" s="218">
        <v>6</v>
      </c>
      <c r="B11" s="223" t="s">
        <v>813</v>
      </c>
      <c r="C11" s="224">
        <v>1</v>
      </c>
      <c r="D11" s="224">
        <v>0</v>
      </c>
      <c r="E11" s="225">
        <v>0</v>
      </c>
      <c r="F11" s="225"/>
      <c r="G11" s="226"/>
      <c r="H11" s="226">
        <v>7</v>
      </c>
      <c r="I11" s="218">
        <v>73.6</v>
      </c>
      <c r="J11" s="228">
        <v>44.6</v>
      </c>
      <c r="K11" s="227">
        <v>3.1</v>
      </c>
      <c r="L11" s="228">
        <v>11</v>
      </c>
      <c r="M11" s="228">
        <v>0</v>
      </c>
      <c r="N11" s="228">
        <v>7.4</v>
      </c>
      <c r="O11" s="239">
        <v>0</v>
      </c>
      <c r="P11" s="238">
        <v>0</v>
      </c>
      <c r="Q11" s="231">
        <v>0</v>
      </c>
      <c r="R11" s="224">
        <v>0</v>
      </c>
      <c r="S11" s="231"/>
      <c r="T11" s="231"/>
      <c r="U11" s="231"/>
      <c r="V11" s="218">
        <v>6</v>
      </c>
      <c r="W11" s="223" t="s">
        <v>813</v>
      </c>
      <c r="X11" s="231">
        <v>37</v>
      </c>
      <c r="Y11" s="231">
        <v>12</v>
      </c>
      <c r="Z11" s="231">
        <v>0</v>
      </c>
      <c r="AA11" s="231">
        <v>0</v>
      </c>
      <c r="AB11" s="231">
        <v>0</v>
      </c>
      <c r="AC11" s="231">
        <v>0</v>
      </c>
      <c r="AD11" s="231">
        <v>0</v>
      </c>
      <c r="AE11" s="231">
        <v>0</v>
      </c>
      <c r="AF11" s="231">
        <v>2</v>
      </c>
      <c r="AG11" s="231">
        <v>0</v>
      </c>
      <c r="AH11" s="231">
        <v>0</v>
      </c>
      <c r="AI11" s="233">
        <f t="shared" si="0"/>
        <v>198.7</v>
      </c>
    </row>
    <row r="12" spans="1:35" ht="15">
      <c r="A12" s="218">
        <v>7</v>
      </c>
      <c r="B12" s="223" t="s">
        <v>814</v>
      </c>
      <c r="C12" s="224">
        <v>53</v>
      </c>
      <c r="D12" s="224">
        <v>100</v>
      </c>
      <c r="E12" s="225">
        <v>1.5</v>
      </c>
      <c r="F12" s="225"/>
      <c r="G12" s="226"/>
      <c r="H12" s="226">
        <v>161</v>
      </c>
      <c r="I12" s="218">
        <v>147.2</v>
      </c>
      <c r="J12" s="228">
        <v>278</v>
      </c>
      <c r="K12" s="227">
        <v>170</v>
      </c>
      <c r="L12" s="228">
        <v>32</v>
      </c>
      <c r="M12" s="228">
        <v>94</v>
      </c>
      <c r="N12" s="228">
        <v>58.2</v>
      </c>
      <c r="O12" s="239">
        <v>0</v>
      </c>
      <c r="P12" s="230">
        <v>369.89</v>
      </c>
      <c r="Q12" s="228">
        <v>4.5</v>
      </c>
      <c r="R12" s="224">
        <v>0</v>
      </c>
      <c r="S12" s="228"/>
      <c r="T12" s="228"/>
      <c r="U12" s="228"/>
      <c r="V12" s="218">
        <v>7</v>
      </c>
      <c r="W12" s="223" t="s">
        <v>814</v>
      </c>
      <c r="X12" s="228">
        <f>1106+52</f>
        <v>1158</v>
      </c>
      <c r="Y12" s="228">
        <v>365</v>
      </c>
      <c r="Z12" s="228">
        <f>6000+4545.3</f>
        <v>10545.3</v>
      </c>
      <c r="AA12" s="231">
        <f>60+45</f>
        <v>105</v>
      </c>
      <c r="AB12" s="234">
        <f>75.9+0.08</f>
        <v>75.98</v>
      </c>
      <c r="AC12" s="228">
        <v>0</v>
      </c>
      <c r="AD12" s="228">
        <v>0</v>
      </c>
      <c r="AE12" s="228">
        <v>0</v>
      </c>
      <c r="AF12" s="228">
        <v>119</v>
      </c>
      <c r="AG12" s="231">
        <v>0</v>
      </c>
      <c r="AH12" s="231">
        <v>0</v>
      </c>
      <c r="AI12" s="233">
        <f t="shared" si="0"/>
        <v>13837.57</v>
      </c>
    </row>
    <row r="13" spans="1:35" ht="15">
      <c r="A13" s="218">
        <v>8</v>
      </c>
      <c r="B13" s="223" t="s">
        <v>815</v>
      </c>
      <c r="C13" s="224">
        <v>100</v>
      </c>
      <c r="D13" s="224">
        <v>500</v>
      </c>
      <c r="E13" s="225">
        <v>7.5</v>
      </c>
      <c r="F13" s="225"/>
      <c r="G13" s="226"/>
      <c r="H13" s="226">
        <v>1400</v>
      </c>
      <c r="I13" s="218">
        <v>171.7</v>
      </c>
      <c r="J13" s="228">
        <v>366.6</v>
      </c>
      <c r="K13" s="227">
        <v>862.1</v>
      </c>
      <c r="L13" s="228">
        <v>53</v>
      </c>
      <c r="M13" s="228">
        <v>4</v>
      </c>
      <c r="N13" s="228">
        <v>49.5</v>
      </c>
      <c r="O13" s="229">
        <f>332.97+66.96</f>
        <v>399.93</v>
      </c>
      <c r="P13" s="230">
        <v>634.097</v>
      </c>
      <c r="Q13" s="228">
        <v>672</v>
      </c>
      <c r="R13" s="232">
        <v>67.2</v>
      </c>
      <c r="S13" s="228"/>
      <c r="T13" s="228"/>
      <c r="U13" s="228"/>
      <c r="V13" s="218">
        <v>8</v>
      </c>
      <c r="W13" s="223" t="s">
        <v>815</v>
      </c>
      <c r="X13" s="228">
        <f>474+158</f>
        <v>632</v>
      </c>
      <c r="Y13" s="228">
        <f>157+51</f>
        <v>208</v>
      </c>
      <c r="Z13" s="228">
        <v>4250</v>
      </c>
      <c r="AA13" s="231">
        <v>42.5</v>
      </c>
      <c r="AB13" s="233">
        <v>14.705</v>
      </c>
      <c r="AC13" s="228">
        <v>0</v>
      </c>
      <c r="AD13" s="228">
        <v>0</v>
      </c>
      <c r="AE13" s="228">
        <v>0</v>
      </c>
      <c r="AF13" s="228">
        <v>105</v>
      </c>
      <c r="AG13" s="231">
        <v>0</v>
      </c>
      <c r="AH13" s="231">
        <v>0</v>
      </c>
      <c r="AI13" s="233">
        <f t="shared" si="0"/>
        <v>10539.832</v>
      </c>
    </row>
    <row r="14" spans="1:35" ht="15">
      <c r="A14" s="218"/>
      <c r="B14" s="223" t="s">
        <v>816</v>
      </c>
      <c r="C14" s="224">
        <v>69</v>
      </c>
      <c r="D14" s="224">
        <v>100</v>
      </c>
      <c r="E14" s="225">
        <v>1.5</v>
      </c>
      <c r="F14" s="225"/>
      <c r="G14" s="226"/>
      <c r="H14" s="226">
        <v>105</v>
      </c>
      <c r="I14" s="218">
        <v>98.1</v>
      </c>
      <c r="J14" s="228">
        <v>179.8</v>
      </c>
      <c r="K14" s="227">
        <v>80.3</v>
      </c>
      <c r="L14" s="228">
        <v>11</v>
      </c>
      <c r="M14" s="228">
        <v>3</v>
      </c>
      <c r="N14" s="228">
        <v>27.6</v>
      </c>
      <c r="O14" s="239">
        <v>0</v>
      </c>
      <c r="P14" s="230">
        <v>369.89</v>
      </c>
      <c r="Q14" s="228">
        <v>1.5</v>
      </c>
      <c r="R14" s="228">
        <v>0</v>
      </c>
      <c r="S14" s="228"/>
      <c r="T14" s="228"/>
      <c r="U14" s="228"/>
      <c r="V14" s="218"/>
      <c r="W14" s="223" t="s">
        <v>816</v>
      </c>
      <c r="X14" s="228">
        <v>106</v>
      </c>
      <c r="Y14" s="228">
        <v>35</v>
      </c>
      <c r="Z14" s="228">
        <f>2870</f>
        <v>2870</v>
      </c>
      <c r="AA14" s="231">
        <v>28.7</v>
      </c>
      <c r="AB14" s="233">
        <f>619+1785.448</f>
        <v>2404.4480000000003</v>
      </c>
      <c r="AC14" s="228">
        <v>71.9</v>
      </c>
      <c r="AD14" s="228">
        <v>0</v>
      </c>
      <c r="AE14" s="233">
        <v>0</v>
      </c>
      <c r="AF14" s="228">
        <v>0</v>
      </c>
      <c r="AG14" s="231">
        <v>0</v>
      </c>
      <c r="AH14" s="231">
        <v>0</v>
      </c>
      <c r="AI14" s="233">
        <f t="shared" si="0"/>
        <v>6562.737999999999</v>
      </c>
    </row>
    <row r="15" spans="1:35" ht="15">
      <c r="A15" s="218">
        <v>10</v>
      </c>
      <c r="B15" s="223" t="s">
        <v>817</v>
      </c>
      <c r="C15" s="224">
        <v>21</v>
      </c>
      <c r="D15" s="224">
        <v>200</v>
      </c>
      <c r="E15" s="225">
        <v>3</v>
      </c>
      <c r="F15" s="225"/>
      <c r="G15" s="226"/>
      <c r="H15" s="226">
        <v>91</v>
      </c>
      <c r="I15" s="218">
        <v>73.6</v>
      </c>
      <c r="J15" s="228">
        <v>119.4</v>
      </c>
      <c r="K15" s="227">
        <v>71.1</v>
      </c>
      <c r="L15" s="228">
        <v>11</v>
      </c>
      <c r="M15" s="228">
        <v>29</v>
      </c>
      <c r="N15" s="228">
        <v>15.6</v>
      </c>
      <c r="O15" s="239">
        <v>0</v>
      </c>
      <c r="P15" s="238">
        <v>0</v>
      </c>
      <c r="Q15" s="228">
        <v>0</v>
      </c>
      <c r="R15" s="228">
        <v>0</v>
      </c>
      <c r="S15" s="228"/>
      <c r="T15" s="228"/>
      <c r="U15" s="228"/>
      <c r="V15" s="218">
        <v>10</v>
      </c>
      <c r="W15" s="223" t="s">
        <v>817</v>
      </c>
      <c r="X15" s="228">
        <v>85</v>
      </c>
      <c r="Y15" s="228">
        <v>28</v>
      </c>
      <c r="Z15" s="228">
        <v>2000</v>
      </c>
      <c r="AA15" s="231">
        <v>20</v>
      </c>
      <c r="AB15" s="228">
        <v>0</v>
      </c>
      <c r="AC15" s="228">
        <v>0</v>
      </c>
      <c r="AD15" s="228">
        <v>0</v>
      </c>
      <c r="AE15" s="233">
        <v>0</v>
      </c>
      <c r="AF15" s="228">
        <v>28</v>
      </c>
      <c r="AG15" s="231">
        <v>0</v>
      </c>
      <c r="AH15" s="231">
        <v>0</v>
      </c>
      <c r="AI15" s="233">
        <f t="shared" si="0"/>
        <v>2795.7</v>
      </c>
    </row>
    <row r="16" spans="1:35" ht="15">
      <c r="A16" s="218">
        <v>11</v>
      </c>
      <c r="B16" s="223" t="s">
        <v>818</v>
      </c>
      <c r="C16" s="224">
        <v>6</v>
      </c>
      <c r="D16" s="224">
        <v>100</v>
      </c>
      <c r="E16" s="225">
        <v>1.5</v>
      </c>
      <c r="F16" s="225"/>
      <c r="G16" s="226"/>
      <c r="H16" s="226">
        <v>105</v>
      </c>
      <c r="I16" s="218">
        <v>73.6</v>
      </c>
      <c r="J16" s="228">
        <v>97.1</v>
      </c>
      <c r="K16" s="227">
        <v>68</v>
      </c>
      <c r="L16" s="228">
        <v>7</v>
      </c>
      <c r="M16" s="228">
        <v>10</v>
      </c>
      <c r="N16" s="228">
        <v>8.9</v>
      </c>
      <c r="O16" s="239">
        <v>0</v>
      </c>
      <c r="P16" s="238">
        <v>0</v>
      </c>
      <c r="Q16" s="228">
        <v>0</v>
      </c>
      <c r="R16" s="228">
        <v>0</v>
      </c>
      <c r="S16" s="228"/>
      <c r="T16" s="228"/>
      <c r="U16" s="228"/>
      <c r="V16" s="218">
        <v>11</v>
      </c>
      <c r="W16" s="223" t="s">
        <v>818</v>
      </c>
      <c r="X16" s="228">
        <v>0</v>
      </c>
      <c r="Y16" s="228">
        <v>0</v>
      </c>
      <c r="Z16" s="228">
        <v>0</v>
      </c>
      <c r="AA16" s="231">
        <v>0</v>
      </c>
      <c r="AB16" s="228">
        <v>0</v>
      </c>
      <c r="AC16" s="228">
        <v>0</v>
      </c>
      <c r="AD16" s="228">
        <v>0</v>
      </c>
      <c r="AE16" s="233">
        <v>0</v>
      </c>
      <c r="AF16" s="228">
        <v>31</v>
      </c>
      <c r="AG16" s="231">
        <v>0</v>
      </c>
      <c r="AH16" s="231">
        <v>0</v>
      </c>
      <c r="AI16" s="233">
        <f t="shared" si="0"/>
        <v>508.1</v>
      </c>
    </row>
    <row r="17" spans="1:35" ht="15">
      <c r="A17" s="218">
        <v>12</v>
      </c>
      <c r="B17" s="223" t="s">
        <v>819</v>
      </c>
      <c r="C17" s="224">
        <v>0</v>
      </c>
      <c r="D17" s="224">
        <v>100</v>
      </c>
      <c r="E17" s="225">
        <v>1.5</v>
      </c>
      <c r="F17" s="225"/>
      <c r="G17" s="226"/>
      <c r="H17" s="226">
        <v>21</v>
      </c>
      <c r="I17" s="218">
        <v>98.1</v>
      </c>
      <c r="J17" s="228">
        <v>82.7</v>
      </c>
      <c r="K17" s="227">
        <v>30.9</v>
      </c>
      <c r="L17" s="228">
        <v>0</v>
      </c>
      <c r="M17" s="228">
        <v>0</v>
      </c>
      <c r="N17" s="228">
        <v>13.6</v>
      </c>
      <c r="O17" s="229">
        <f>2295.24+1048.44</f>
        <v>3343.68</v>
      </c>
      <c r="P17" s="230">
        <v>369.89</v>
      </c>
      <c r="Q17" s="228">
        <v>0</v>
      </c>
      <c r="R17" s="228">
        <v>0</v>
      </c>
      <c r="S17" s="228"/>
      <c r="T17" s="228"/>
      <c r="U17" s="228"/>
      <c r="V17" s="218">
        <v>12</v>
      </c>
      <c r="W17" s="223" t="s">
        <v>819</v>
      </c>
      <c r="X17" s="228">
        <v>79</v>
      </c>
      <c r="Y17" s="228">
        <v>26</v>
      </c>
      <c r="Z17" s="228">
        <v>0</v>
      </c>
      <c r="AA17" s="231">
        <v>0</v>
      </c>
      <c r="AB17" s="228">
        <v>0</v>
      </c>
      <c r="AC17" s="228">
        <v>0</v>
      </c>
      <c r="AD17" s="228">
        <f>2330-2330</f>
        <v>0</v>
      </c>
      <c r="AE17" s="228">
        <v>23.3</v>
      </c>
      <c r="AF17" s="228">
        <v>0</v>
      </c>
      <c r="AG17" s="231">
        <v>0</v>
      </c>
      <c r="AH17" s="231">
        <v>0</v>
      </c>
      <c r="AI17" s="233">
        <f t="shared" si="0"/>
        <v>4189.67</v>
      </c>
    </row>
    <row r="18" spans="1:35" ht="15">
      <c r="A18" s="218">
        <v>13</v>
      </c>
      <c r="B18" s="223" t="s">
        <v>820</v>
      </c>
      <c r="C18" s="224">
        <v>77</v>
      </c>
      <c r="D18" s="224">
        <v>100</v>
      </c>
      <c r="E18" s="225">
        <v>1.5</v>
      </c>
      <c r="F18" s="225"/>
      <c r="G18" s="226"/>
      <c r="H18" s="226">
        <v>147</v>
      </c>
      <c r="I18" s="218">
        <v>122.6</v>
      </c>
      <c r="J18" s="228">
        <v>268.9</v>
      </c>
      <c r="K18" s="227">
        <v>86.5</v>
      </c>
      <c r="L18" s="228">
        <v>18</v>
      </c>
      <c r="M18" s="228">
        <v>1</v>
      </c>
      <c r="N18" s="228">
        <v>29.4</v>
      </c>
      <c r="O18" s="229">
        <f>1073.58-319.8</f>
        <v>753.78</v>
      </c>
      <c r="P18" s="230">
        <v>634.098</v>
      </c>
      <c r="Q18" s="228">
        <v>109.5</v>
      </c>
      <c r="R18" s="228">
        <v>11</v>
      </c>
      <c r="S18" s="228"/>
      <c r="T18" s="228"/>
      <c r="U18" s="228"/>
      <c r="V18" s="218">
        <v>13</v>
      </c>
      <c r="W18" s="223" t="s">
        <v>820</v>
      </c>
      <c r="X18" s="228">
        <f>87+158</f>
        <v>245</v>
      </c>
      <c r="Y18" s="228">
        <f>29+52</f>
        <v>81</v>
      </c>
      <c r="Z18" s="228">
        <v>0</v>
      </c>
      <c r="AA18" s="231">
        <v>0</v>
      </c>
      <c r="AB18" s="228">
        <v>7000</v>
      </c>
      <c r="AC18" s="228">
        <v>203.2</v>
      </c>
      <c r="AD18" s="228">
        <v>0</v>
      </c>
      <c r="AE18" s="233">
        <v>0</v>
      </c>
      <c r="AF18" s="228">
        <v>72</v>
      </c>
      <c r="AG18" s="231">
        <v>0</v>
      </c>
      <c r="AH18" s="231">
        <v>0</v>
      </c>
      <c r="AI18" s="233">
        <f t="shared" si="0"/>
        <v>9961.478000000001</v>
      </c>
    </row>
    <row r="19" spans="1:35" ht="15">
      <c r="A19" s="218">
        <v>14</v>
      </c>
      <c r="B19" s="223" t="s">
        <v>821</v>
      </c>
      <c r="C19" s="224">
        <v>23</v>
      </c>
      <c r="D19" s="224">
        <v>0</v>
      </c>
      <c r="E19" s="225">
        <v>0</v>
      </c>
      <c r="F19" s="225"/>
      <c r="G19" s="226"/>
      <c r="H19" s="226">
        <v>0</v>
      </c>
      <c r="I19" s="218">
        <v>24.5</v>
      </c>
      <c r="J19" s="228">
        <v>136.9</v>
      </c>
      <c r="K19" s="227">
        <v>3.1</v>
      </c>
      <c r="L19" s="228">
        <v>14</v>
      </c>
      <c r="M19" s="228">
        <v>0</v>
      </c>
      <c r="N19" s="228">
        <v>9.4</v>
      </c>
      <c r="O19" s="239">
        <v>0</v>
      </c>
      <c r="P19" s="230">
        <v>123.297</v>
      </c>
      <c r="Q19" s="228">
        <v>0</v>
      </c>
      <c r="R19" s="228">
        <v>0</v>
      </c>
      <c r="S19" s="228"/>
      <c r="T19" s="228"/>
      <c r="U19" s="228"/>
      <c r="V19" s="218">
        <v>14</v>
      </c>
      <c r="W19" s="223" t="s">
        <v>821</v>
      </c>
      <c r="X19" s="228">
        <v>37</v>
      </c>
      <c r="Y19" s="228">
        <v>12</v>
      </c>
      <c r="Z19" s="228">
        <v>0</v>
      </c>
      <c r="AA19" s="231">
        <v>0</v>
      </c>
      <c r="AB19" s="228">
        <v>0</v>
      </c>
      <c r="AC19" s="228">
        <v>0</v>
      </c>
      <c r="AD19" s="228">
        <v>0</v>
      </c>
      <c r="AE19" s="233">
        <v>0</v>
      </c>
      <c r="AF19" s="228">
        <v>32</v>
      </c>
      <c r="AG19" s="231">
        <v>0</v>
      </c>
      <c r="AH19" s="231">
        <v>0</v>
      </c>
      <c r="AI19" s="233">
        <f t="shared" si="0"/>
        <v>415.197</v>
      </c>
    </row>
    <row r="20" spans="1:35" ht="15">
      <c r="A20" s="218">
        <v>15</v>
      </c>
      <c r="B20" s="223" t="s">
        <v>822</v>
      </c>
      <c r="C20" s="224">
        <v>0</v>
      </c>
      <c r="D20" s="224">
        <v>100</v>
      </c>
      <c r="E20" s="225">
        <v>1.5</v>
      </c>
      <c r="F20" s="225"/>
      <c r="G20" s="226"/>
      <c r="H20" s="226">
        <v>1.4</v>
      </c>
      <c r="I20" s="218">
        <v>122.6</v>
      </c>
      <c r="J20" s="228">
        <v>398.6</v>
      </c>
      <c r="K20" s="227">
        <v>40.2</v>
      </c>
      <c r="L20" s="228">
        <v>0</v>
      </c>
      <c r="M20" s="228">
        <v>0</v>
      </c>
      <c r="N20" s="228">
        <v>57.1</v>
      </c>
      <c r="O20" s="239">
        <v>0</v>
      </c>
      <c r="P20" s="230">
        <v>422.732</v>
      </c>
      <c r="Q20" s="228">
        <v>855</v>
      </c>
      <c r="R20" s="228">
        <v>3.5</v>
      </c>
      <c r="S20" s="228"/>
      <c r="T20" s="228"/>
      <c r="U20" s="228"/>
      <c r="V20" s="218">
        <v>15</v>
      </c>
      <c r="W20" s="223" t="s">
        <v>822</v>
      </c>
      <c r="X20" s="228">
        <v>122</v>
      </c>
      <c r="Y20" s="228">
        <v>40</v>
      </c>
      <c r="Z20" s="228">
        <f>15500+1940.7+1077+7500</f>
        <v>26017.7</v>
      </c>
      <c r="AA20" s="231">
        <v>185.2</v>
      </c>
      <c r="AB20" s="228">
        <f>2303.985</f>
        <v>2303.985</v>
      </c>
      <c r="AC20" s="228">
        <v>0</v>
      </c>
      <c r="AD20" s="228">
        <v>0</v>
      </c>
      <c r="AE20" s="233">
        <v>0</v>
      </c>
      <c r="AF20" s="228">
        <v>0</v>
      </c>
      <c r="AG20" s="231">
        <v>0</v>
      </c>
      <c r="AH20" s="231">
        <v>0</v>
      </c>
      <c r="AI20" s="233">
        <f t="shared" si="0"/>
        <v>30671.517000000003</v>
      </c>
    </row>
    <row r="21" spans="1:35" ht="15">
      <c r="A21" s="218">
        <v>16</v>
      </c>
      <c r="B21" s="223" t="s">
        <v>823</v>
      </c>
      <c r="C21" s="224">
        <v>105</v>
      </c>
      <c r="D21" s="224">
        <v>350</v>
      </c>
      <c r="E21" s="225">
        <v>5.3</v>
      </c>
      <c r="F21" s="225"/>
      <c r="G21" s="226"/>
      <c r="H21" s="226">
        <v>105</v>
      </c>
      <c r="I21" s="218">
        <v>73.6</v>
      </c>
      <c r="J21" s="228">
        <v>371</v>
      </c>
      <c r="K21" s="227">
        <v>77.3</v>
      </c>
      <c r="L21" s="228">
        <v>21</v>
      </c>
      <c r="M21" s="228">
        <v>2</v>
      </c>
      <c r="N21" s="228">
        <v>33.8</v>
      </c>
      <c r="O21" s="229">
        <f>666.36+33.48</f>
        <v>699.84</v>
      </c>
      <c r="P21" s="230">
        <v>281.821</v>
      </c>
      <c r="Q21" s="228">
        <v>256.5</v>
      </c>
      <c r="R21" s="228">
        <v>26.4</v>
      </c>
      <c r="S21" s="228"/>
      <c r="T21" s="228"/>
      <c r="U21" s="228"/>
      <c r="V21" s="218">
        <v>16</v>
      </c>
      <c r="W21" s="223" t="s">
        <v>823</v>
      </c>
      <c r="X21" s="228">
        <f>79-79</f>
        <v>0</v>
      </c>
      <c r="Y21" s="228">
        <f>26-26</f>
        <v>0</v>
      </c>
      <c r="Z21" s="228">
        <v>0</v>
      </c>
      <c r="AA21" s="231">
        <v>0</v>
      </c>
      <c r="AB21" s="234">
        <f>6054-3252.24</f>
        <v>2801.76</v>
      </c>
      <c r="AC21" s="228">
        <f>175.7-26+18.4</f>
        <v>168.1</v>
      </c>
      <c r="AD21" s="228">
        <v>0</v>
      </c>
      <c r="AE21" s="233">
        <v>0</v>
      </c>
      <c r="AF21" s="228">
        <v>36</v>
      </c>
      <c r="AG21" s="231">
        <v>0</v>
      </c>
      <c r="AH21" s="231">
        <v>0</v>
      </c>
      <c r="AI21" s="233">
        <f t="shared" si="0"/>
        <v>5414.421</v>
      </c>
    </row>
    <row r="22" spans="1:35" ht="15">
      <c r="A22" s="218">
        <v>17</v>
      </c>
      <c r="B22" s="223" t="s">
        <v>824</v>
      </c>
      <c r="C22" s="224">
        <v>29.7</v>
      </c>
      <c r="D22" s="224">
        <v>200</v>
      </c>
      <c r="E22" s="225">
        <v>3</v>
      </c>
      <c r="F22" s="225"/>
      <c r="G22" s="226"/>
      <c r="H22" s="226">
        <v>161</v>
      </c>
      <c r="I22" s="218">
        <v>73.6</v>
      </c>
      <c r="J22" s="228">
        <v>155.1</v>
      </c>
      <c r="K22" s="227">
        <v>126.7</v>
      </c>
      <c r="L22" s="228">
        <v>20.1</v>
      </c>
      <c r="M22" s="228">
        <v>10</v>
      </c>
      <c r="N22" s="228">
        <v>22.3</v>
      </c>
      <c r="O22" s="239">
        <v>0</v>
      </c>
      <c r="P22" s="230">
        <v>369.89</v>
      </c>
      <c r="Q22" s="228">
        <v>0</v>
      </c>
      <c r="R22" s="228">
        <v>0</v>
      </c>
      <c r="S22" s="228"/>
      <c r="T22" s="228"/>
      <c r="U22" s="228"/>
      <c r="V22" s="218">
        <v>17</v>
      </c>
      <c r="W22" s="223" t="s">
        <v>824</v>
      </c>
      <c r="X22" s="228">
        <v>158</v>
      </c>
      <c r="Y22" s="228">
        <v>52.1</v>
      </c>
      <c r="Z22" s="228">
        <f>1680+1071.7</f>
        <v>2751.7</v>
      </c>
      <c r="AA22" s="231">
        <v>27.5</v>
      </c>
      <c r="AB22" s="228">
        <v>0</v>
      </c>
      <c r="AC22" s="228">
        <v>0</v>
      </c>
      <c r="AD22" s="228">
        <v>0</v>
      </c>
      <c r="AE22" s="233">
        <v>0</v>
      </c>
      <c r="AF22" s="228">
        <v>32.9</v>
      </c>
      <c r="AG22" s="231">
        <v>0</v>
      </c>
      <c r="AH22" s="231">
        <v>0</v>
      </c>
      <c r="AI22" s="233">
        <f t="shared" si="0"/>
        <v>4193.589999999999</v>
      </c>
    </row>
    <row r="23" spans="1:35" ht="15">
      <c r="A23" s="218">
        <v>18</v>
      </c>
      <c r="B23" s="223" t="s">
        <v>825</v>
      </c>
      <c r="C23" s="224">
        <v>8</v>
      </c>
      <c r="D23" s="224">
        <v>100</v>
      </c>
      <c r="E23" s="225">
        <v>1.5</v>
      </c>
      <c r="F23" s="225"/>
      <c r="G23" s="226"/>
      <c r="H23" s="226">
        <v>168</v>
      </c>
      <c r="I23" s="218">
        <v>98.1</v>
      </c>
      <c r="J23" s="228">
        <v>82.3</v>
      </c>
      <c r="K23" s="227">
        <v>95.8</v>
      </c>
      <c r="L23" s="228">
        <v>11</v>
      </c>
      <c r="M23" s="228">
        <v>4</v>
      </c>
      <c r="N23" s="228">
        <v>7.3</v>
      </c>
      <c r="O23" s="239">
        <v>0</v>
      </c>
      <c r="P23" s="238">
        <v>0</v>
      </c>
      <c r="Q23" s="228">
        <v>3</v>
      </c>
      <c r="R23" s="228">
        <v>0</v>
      </c>
      <c r="S23" s="228"/>
      <c r="T23" s="228"/>
      <c r="U23" s="228"/>
      <c r="V23" s="218">
        <v>18</v>
      </c>
      <c r="W23" s="223" t="s">
        <v>825</v>
      </c>
      <c r="X23" s="228">
        <v>106</v>
      </c>
      <c r="Y23" s="228">
        <v>35</v>
      </c>
      <c r="Z23" s="228">
        <v>0</v>
      </c>
      <c r="AA23" s="231">
        <v>0</v>
      </c>
      <c r="AB23" s="228">
        <v>0</v>
      </c>
      <c r="AC23" s="228">
        <v>0</v>
      </c>
      <c r="AD23" s="228">
        <v>0</v>
      </c>
      <c r="AE23" s="233">
        <v>0</v>
      </c>
      <c r="AF23" s="228">
        <v>6</v>
      </c>
      <c r="AG23" s="231">
        <v>0</v>
      </c>
      <c r="AH23" s="231">
        <v>0</v>
      </c>
      <c r="AI23" s="233">
        <f t="shared" si="0"/>
        <v>726</v>
      </c>
    </row>
    <row r="24" spans="1:35" ht="15">
      <c r="A24" s="218">
        <v>19</v>
      </c>
      <c r="B24" s="223" t="s">
        <v>826</v>
      </c>
      <c r="C24" s="224">
        <v>16</v>
      </c>
      <c r="D24" s="224">
        <v>100</v>
      </c>
      <c r="E24" s="225">
        <v>1.5</v>
      </c>
      <c r="F24" s="225"/>
      <c r="G24" s="226"/>
      <c r="H24" s="226">
        <v>49</v>
      </c>
      <c r="I24" s="218">
        <v>98.1</v>
      </c>
      <c r="J24" s="228">
        <v>124.5</v>
      </c>
      <c r="K24" s="227">
        <v>43.3</v>
      </c>
      <c r="L24" s="228">
        <v>14</v>
      </c>
      <c r="M24" s="228">
        <v>3</v>
      </c>
      <c r="N24" s="228">
        <v>14.5</v>
      </c>
      <c r="O24" s="239">
        <v>0</v>
      </c>
      <c r="P24" s="230">
        <v>264.207</v>
      </c>
      <c r="Q24" s="228">
        <v>33</v>
      </c>
      <c r="R24" s="228">
        <v>3.3</v>
      </c>
      <c r="S24" s="228"/>
      <c r="T24" s="228"/>
      <c r="U24" s="228"/>
      <c r="V24" s="218">
        <v>19</v>
      </c>
      <c r="W24" s="223" t="s">
        <v>826</v>
      </c>
      <c r="X24" s="228">
        <f>53-53</f>
        <v>0</v>
      </c>
      <c r="Y24" s="228">
        <f>17-17</f>
        <v>0</v>
      </c>
      <c r="Z24" s="228">
        <v>0</v>
      </c>
      <c r="AA24" s="231">
        <v>0</v>
      </c>
      <c r="AB24" s="228">
        <v>0</v>
      </c>
      <c r="AC24" s="228">
        <f>7.5</f>
        <v>7.5</v>
      </c>
      <c r="AD24" s="228">
        <v>0</v>
      </c>
      <c r="AE24" s="233">
        <v>0</v>
      </c>
      <c r="AF24" s="228">
        <v>16</v>
      </c>
      <c r="AG24" s="231">
        <v>0</v>
      </c>
      <c r="AH24" s="231">
        <v>0</v>
      </c>
      <c r="AI24" s="233">
        <f t="shared" si="0"/>
        <v>787.9069999999999</v>
      </c>
    </row>
    <row r="25" spans="1:35" ht="15">
      <c r="A25" s="218">
        <v>20</v>
      </c>
      <c r="B25" s="223" t="s">
        <v>827</v>
      </c>
      <c r="C25" s="224">
        <v>82</v>
      </c>
      <c r="D25" s="224">
        <v>100</v>
      </c>
      <c r="E25" s="225">
        <v>1.5</v>
      </c>
      <c r="F25" s="225"/>
      <c r="G25" s="226"/>
      <c r="H25" s="226">
        <v>161</v>
      </c>
      <c r="I25" s="218">
        <v>122.6</v>
      </c>
      <c r="J25" s="228">
        <v>357.5</v>
      </c>
      <c r="K25" s="227">
        <v>117.4</v>
      </c>
      <c r="L25" s="228">
        <v>32</v>
      </c>
      <c r="M25" s="228">
        <v>20</v>
      </c>
      <c r="N25" s="228">
        <v>52.9</v>
      </c>
      <c r="O25" s="239">
        <v>0</v>
      </c>
      <c r="P25" s="230">
        <v>581.256</v>
      </c>
      <c r="Q25" s="228">
        <v>0</v>
      </c>
      <c r="R25" s="228">
        <v>0</v>
      </c>
      <c r="S25" s="228"/>
      <c r="T25" s="228"/>
      <c r="U25" s="228"/>
      <c r="V25" s="218">
        <v>20</v>
      </c>
      <c r="W25" s="223" t="s">
        <v>827</v>
      </c>
      <c r="X25" s="228">
        <v>285</v>
      </c>
      <c r="Y25" s="228">
        <v>94</v>
      </c>
      <c r="Z25" s="228">
        <f>2480+250-2730</f>
        <v>0</v>
      </c>
      <c r="AA25" s="231">
        <v>27.3</v>
      </c>
      <c r="AB25" s="228">
        <v>0</v>
      </c>
      <c r="AC25" s="228">
        <v>0</v>
      </c>
      <c r="AD25" s="228">
        <f>2740</f>
        <v>2740</v>
      </c>
      <c r="AE25" s="228">
        <f>AD25/100*1</f>
        <v>27.4</v>
      </c>
      <c r="AF25" s="228">
        <v>70</v>
      </c>
      <c r="AG25" s="231">
        <v>0</v>
      </c>
      <c r="AH25" s="231">
        <v>0</v>
      </c>
      <c r="AI25" s="233">
        <f t="shared" si="0"/>
        <v>4871.856</v>
      </c>
    </row>
    <row r="26" spans="1:35" ht="15">
      <c r="A26" s="235"/>
      <c r="B26" s="236" t="s">
        <v>828</v>
      </c>
      <c r="C26" s="337">
        <f aca="true" t="shared" si="1" ref="C26:K26">SUM(C6:C25)</f>
        <v>1038.7</v>
      </c>
      <c r="D26" s="337">
        <f t="shared" si="1"/>
        <v>2750</v>
      </c>
      <c r="E26" s="337">
        <f t="shared" si="1"/>
        <v>41.3</v>
      </c>
      <c r="F26" s="337">
        <f t="shared" si="1"/>
        <v>0</v>
      </c>
      <c r="G26" s="337">
        <f t="shared" si="1"/>
        <v>0</v>
      </c>
      <c r="H26" s="338">
        <f t="shared" si="1"/>
        <v>3844.4</v>
      </c>
      <c r="I26" s="338">
        <f t="shared" si="1"/>
        <v>1913.0999999999992</v>
      </c>
      <c r="J26" s="237">
        <f t="shared" si="1"/>
        <v>3916</v>
      </c>
      <c r="K26" s="237">
        <f t="shared" si="1"/>
        <v>2700.8</v>
      </c>
      <c r="L26" s="237">
        <f aca="true" t="shared" si="2" ref="L26:AE26">SUM(L6:L25)</f>
        <v>351.1</v>
      </c>
      <c r="M26" s="237">
        <f t="shared" si="2"/>
        <v>391</v>
      </c>
      <c r="N26" s="237">
        <f t="shared" si="2"/>
        <v>570.8000000000001</v>
      </c>
      <c r="O26" s="237">
        <f>SUM(O6:O25)</f>
        <v>7641.63</v>
      </c>
      <c r="P26" s="237">
        <f t="shared" si="2"/>
        <v>5742.104000000001</v>
      </c>
      <c r="Q26" s="237">
        <f t="shared" si="2"/>
        <v>2427</v>
      </c>
      <c r="R26" s="237">
        <f t="shared" si="2"/>
        <v>161.10000000000002</v>
      </c>
      <c r="S26" s="237">
        <f t="shared" si="2"/>
        <v>0</v>
      </c>
      <c r="T26" s="237">
        <f t="shared" si="2"/>
        <v>0</v>
      </c>
      <c r="U26" s="237">
        <f t="shared" si="2"/>
        <v>0</v>
      </c>
      <c r="V26" s="235"/>
      <c r="W26" s="236" t="s">
        <v>828</v>
      </c>
      <c r="X26" s="237">
        <f>SUM(X6:X25)</f>
        <v>3411</v>
      </c>
      <c r="Y26" s="237">
        <f t="shared" si="2"/>
        <v>1107.1</v>
      </c>
      <c r="Z26" s="237">
        <f t="shared" si="2"/>
        <v>53728.5</v>
      </c>
      <c r="AA26" s="237">
        <f t="shared" si="2"/>
        <v>489.09999999999997</v>
      </c>
      <c r="AB26" s="237">
        <f t="shared" si="2"/>
        <v>17084.878</v>
      </c>
      <c r="AC26" s="237">
        <f t="shared" si="2"/>
        <v>749.0000000000001</v>
      </c>
      <c r="AD26" s="237">
        <f t="shared" si="2"/>
        <v>2740</v>
      </c>
      <c r="AE26" s="237">
        <f t="shared" si="2"/>
        <v>50.7</v>
      </c>
      <c r="AF26" s="237">
        <f>SUM(AF6:AF25)</f>
        <v>834.9</v>
      </c>
      <c r="AG26" s="237">
        <f>SUM(AG6:AG25)</f>
        <v>2800</v>
      </c>
      <c r="AH26" s="237">
        <f>SUM(AH6:AH25)</f>
        <v>56</v>
      </c>
      <c r="AI26" s="237">
        <f>SUM(AI6:AI25)</f>
        <v>116540.21200000001</v>
      </c>
    </row>
    <row r="27" s="78" customFormat="1" ht="15">
      <c r="AI27" s="447"/>
    </row>
    <row r="28" s="78" customFormat="1" ht="15"/>
    <row r="29" s="78" customFormat="1" ht="15"/>
    <row r="30" s="78" customFormat="1" ht="15"/>
    <row r="31" s="78" customFormat="1" ht="15"/>
    <row r="32" s="78" customFormat="1" ht="15"/>
    <row r="33" s="78" customFormat="1" ht="15"/>
    <row r="34" s="78" customFormat="1" ht="15"/>
    <row r="35" s="78" customFormat="1" ht="15"/>
    <row r="36" s="78" customFormat="1" ht="15"/>
    <row r="37" s="78" customFormat="1" ht="15"/>
    <row r="38" s="78" customFormat="1" ht="15"/>
    <row r="39" s="78" customFormat="1" ht="15"/>
    <row r="40" s="78" customFormat="1" ht="15"/>
    <row r="41" s="78" customFormat="1" ht="15"/>
    <row r="42" s="78" customFormat="1" ht="15"/>
    <row r="43" s="78" customFormat="1" ht="15"/>
    <row r="44" s="78" customFormat="1" ht="15"/>
    <row r="45" s="78" customFormat="1" ht="15"/>
    <row r="46" s="78" customFormat="1" ht="15"/>
    <row r="47" s="78" customFormat="1" ht="15"/>
    <row r="48" s="78" customFormat="1" ht="15"/>
    <row r="49" s="78" customFormat="1" ht="15"/>
    <row r="50" s="78" customFormat="1" ht="15"/>
    <row r="51" s="78" customFormat="1" ht="15"/>
    <row r="52" s="78" customFormat="1" ht="15"/>
    <row r="53" s="78" customFormat="1" ht="15"/>
    <row r="54" s="78" customFormat="1" ht="15"/>
    <row r="55" s="78" customFormat="1" ht="15"/>
    <row r="56" s="78" customFormat="1" ht="15"/>
    <row r="57" s="78" customFormat="1" ht="15"/>
    <row r="58" s="78" customFormat="1" ht="15"/>
    <row r="59" s="78" customFormat="1" ht="15"/>
    <row r="60" s="78" customFormat="1" ht="15"/>
    <row r="61" s="78" customFormat="1" ht="15"/>
    <row r="62" s="78" customFormat="1" ht="15"/>
    <row r="63" s="78" customFormat="1" ht="15"/>
    <row r="64" s="78" customFormat="1" ht="15"/>
    <row r="65" s="78" customFormat="1" ht="15"/>
    <row r="66" s="78" customFormat="1" ht="15"/>
    <row r="67" s="78" customFormat="1" ht="15"/>
    <row r="68" s="78" customFormat="1" ht="15"/>
    <row r="69" s="78" customFormat="1" ht="15"/>
    <row r="70" s="78" customFormat="1" ht="15"/>
    <row r="71" s="78" customFormat="1" ht="15"/>
    <row r="72" s="78" customFormat="1" ht="15"/>
    <row r="73" s="78" customFormat="1" ht="15"/>
    <row r="74" s="78" customFormat="1" ht="15"/>
    <row r="75" s="78" customFormat="1" ht="15"/>
    <row r="76" s="78" customFormat="1" ht="15"/>
    <row r="77" s="78" customFormat="1" ht="15"/>
    <row r="78" s="78" customFormat="1" ht="15"/>
    <row r="79" s="78" customFormat="1" ht="15"/>
    <row r="80" s="78" customFormat="1" ht="15"/>
    <row r="81" s="78" customFormat="1" ht="15"/>
    <row r="82" s="78" customFormat="1" ht="15"/>
    <row r="83" s="78" customFormat="1" ht="15"/>
    <row r="84" s="78" customFormat="1" ht="15"/>
    <row r="85" s="78" customFormat="1" ht="15"/>
    <row r="86" s="78" customFormat="1" ht="15"/>
    <row r="87" s="78" customFormat="1" ht="15"/>
    <row r="88" s="78" customFormat="1" ht="15"/>
    <row r="89" s="78" customFormat="1" ht="15"/>
    <row r="90" s="78" customFormat="1" ht="15"/>
    <row r="91" s="78" customFormat="1" ht="15"/>
    <row r="92" s="78" customFormat="1" ht="15"/>
    <row r="93" s="78" customFormat="1" ht="15"/>
    <row r="94" s="78" customFormat="1" ht="15"/>
    <row r="95" s="78" customFormat="1" ht="15"/>
    <row r="96" s="78" customFormat="1" ht="15"/>
    <row r="97" s="78" customFormat="1" ht="15"/>
    <row r="98" s="78" customFormat="1" ht="15"/>
    <row r="99" s="78" customFormat="1" ht="15"/>
    <row r="100" s="78" customFormat="1" ht="15"/>
    <row r="101" s="78" customFormat="1" ht="15"/>
    <row r="102" s="78" customFormat="1" ht="15"/>
    <row r="103" s="78" customFormat="1" ht="15"/>
    <row r="104" s="78" customFormat="1" ht="15"/>
    <row r="105" s="78" customFormat="1" ht="15"/>
    <row r="106" s="78" customFormat="1" ht="15"/>
    <row r="107" s="78" customFormat="1" ht="15"/>
    <row r="108" s="78" customFormat="1" ht="15"/>
    <row r="109" s="78" customFormat="1" ht="15"/>
    <row r="110" s="78" customFormat="1" ht="15"/>
    <row r="111" s="78" customFormat="1" ht="15"/>
    <row r="112" s="78" customFormat="1" ht="15"/>
    <row r="113" s="78" customFormat="1" ht="15"/>
    <row r="114" s="78" customFormat="1" ht="15"/>
    <row r="115" s="78" customFormat="1" ht="15"/>
    <row r="116" s="78" customFormat="1" ht="15"/>
    <row r="117" s="78" customFormat="1" ht="15"/>
    <row r="118" s="78" customFormat="1" ht="15"/>
    <row r="119" s="78" customFormat="1" ht="15"/>
    <row r="120" s="78" customFormat="1" ht="15"/>
    <row r="121" s="78" customFormat="1" ht="15"/>
    <row r="122" s="78" customFormat="1" ht="15"/>
    <row r="123" s="78" customFormat="1" ht="15"/>
    <row r="124" s="78" customFormat="1" ht="15"/>
    <row r="125" s="78" customFormat="1" ht="15"/>
    <row r="126" s="78" customFormat="1" ht="15"/>
    <row r="127" s="78" customFormat="1" ht="15"/>
    <row r="128" s="78" customFormat="1" ht="15"/>
    <row r="129" s="78" customFormat="1" ht="15"/>
    <row r="130" s="78" customFormat="1" ht="15"/>
    <row r="131" s="78" customFormat="1" ht="15"/>
    <row r="132" s="78" customFormat="1" ht="15"/>
    <row r="133" s="78" customFormat="1" ht="15"/>
    <row r="134" s="78" customFormat="1" ht="15"/>
    <row r="135" s="78" customFormat="1" ht="15"/>
    <row r="136" s="78" customFormat="1" ht="15"/>
    <row r="137" s="78" customFormat="1" ht="15"/>
    <row r="138" s="78" customFormat="1" ht="15"/>
    <row r="139" s="78" customFormat="1" ht="15"/>
    <row r="140" s="78" customFormat="1" ht="15"/>
    <row r="141" s="78" customFormat="1" ht="15"/>
    <row r="142" s="78" customFormat="1" ht="15"/>
    <row r="143" s="78" customFormat="1" ht="15"/>
    <row r="144" s="78" customFormat="1" ht="15"/>
    <row r="145" s="78" customFormat="1" ht="15"/>
    <row r="146" s="78" customFormat="1" ht="15"/>
    <row r="147" s="78" customFormat="1" ht="15"/>
    <row r="148" s="78" customFormat="1" ht="15"/>
    <row r="149" s="78" customFormat="1" ht="15"/>
    <row r="150" s="78" customFormat="1" ht="15"/>
    <row r="151" s="78" customFormat="1" ht="15"/>
    <row r="152" s="78" customFormat="1" ht="15"/>
    <row r="153" s="78" customFormat="1" ht="15"/>
    <row r="154" s="78" customFormat="1" ht="15"/>
    <row r="155" s="78" customFormat="1" ht="15"/>
    <row r="156" s="78" customFormat="1" ht="15"/>
    <row r="157" s="78" customFormat="1" ht="15"/>
    <row r="158" s="78" customFormat="1" ht="15"/>
    <row r="159" s="78" customFormat="1" ht="15"/>
    <row r="160" s="78" customFormat="1" ht="15"/>
    <row r="161" s="78" customFormat="1" ht="15"/>
    <row r="162" s="78" customFormat="1" ht="15"/>
    <row r="163" s="78" customFormat="1" ht="15"/>
    <row r="164" s="78" customFormat="1" ht="15"/>
    <row r="165" s="78" customFormat="1" ht="15"/>
    <row r="166" s="78" customFormat="1" ht="15"/>
    <row r="167" s="78" customFormat="1" ht="15"/>
    <row r="168" s="78" customFormat="1" ht="15"/>
    <row r="169" s="78" customFormat="1" ht="15"/>
    <row r="170" s="78" customFormat="1" ht="15"/>
    <row r="171" s="78" customFormat="1" ht="15"/>
    <row r="172" s="78" customFormat="1" ht="15"/>
    <row r="173" s="78" customFormat="1" ht="15"/>
    <row r="174" s="78" customFormat="1" ht="15"/>
    <row r="175" s="78" customFormat="1" ht="15"/>
    <row r="176" s="78" customFormat="1" ht="15"/>
    <row r="177" s="78" customFormat="1" ht="15"/>
    <row r="178" s="78" customFormat="1" ht="15"/>
    <row r="179" s="78" customFormat="1" ht="15"/>
    <row r="180" s="78" customFormat="1" ht="15"/>
    <row r="181" s="78" customFormat="1" ht="15"/>
    <row r="182" s="78" customFormat="1" ht="15"/>
    <row r="183" s="78" customFormat="1" ht="15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  <row r="233" s="78" customFormat="1" ht="15"/>
    <row r="234" s="78" customFormat="1" ht="15"/>
    <row r="235" s="78" customFormat="1" ht="15"/>
    <row r="236" s="78" customFormat="1" ht="15"/>
    <row r="237" s="78" customFormat="1" ht="15"/>
    <row r="238" s="78" customFormat="1" ht="15"/>
    <row r="239" s="78" customFormat="1" ht="15"/>
    <row r="240" s="78" customFormat="1" ht="15"/>
    <row r="241" s="78" customFormat="1" ht="15"/>
    <row r="242" s="78" customFormat="1" ht="15"/>
    <row r="243" s="78" customFormat="1" ht="15"/>
    <row r="244" s="78" customFormat="1" ht="15"/>
    <row r="245" s="78" customFormat="1" ht="15"/>
    <row r="246" s="78" customFormat="1" ht="15"/>
    <row r="247" s="78" customFormat="1" ht="15"/>
    <row r="248" s="78" customFormat="1" ht="15"/>
    <row r="249" s="78" customFormat="1" ht="15"/>
    <row r="250" s="78" customFormat="1" ht="15"/>
    <row r="251" s="78" customFormat="1" ht="15"/>
    <row r="252" s="78" customFormat="1" ht="15"/>
    <row r="253" s="78" customFormat="1" ht="15"/>
    <row r="254" s="78" customFormat="1" ht="15"/>
    <row r="255" s="78" customFormat="1" ht="15"/>
    <row r="256" s="78" customFormat="1" ht="15"/>
    <row r="257" s="78" customFormat="1" ht="15"/>
    <row r="258" s="78" customFormat="1" ht="15"/>
    <row r="259" s="78" customFormat="1" ht="15"/>
    <row r="260" s="78" customFormat="1" ht="15"/>
    <row r="261" s="78" customFormat="1" ht="15"/>
    <row r="262" s="78" customFormat="1" ht="15"/>
    <row r="263" s="78" customFormat="1" ht="15"/>
    <row r="264" s="78" customFormat="1" ht="15"/>
    <row r="265" s="78" customFormat="1" ht="15"/>
    <row r="266" s="78" customFormat="1" ht="15"/>
    <row r="267" s="78" customFormat="1" ht="15"/>
    <row r="268" s="78" customFormat="1" ht="15"/>
    <row r="269" s="78" customFormat="1" ht="15"/>
    <row r="270" s="78" customFormat="1" ht="15"/>
    <row r="271" s="78" customFormat="1" ht="15"/>
    <row r="272" s="78" customFormat="1" ht="15"/>
    <row r="273" s="78" customFormat="1" ht="15"/>
    <row r="274" s="78" customFormat="1" ht="15"/>
    <row r="275" s="78" customFormat="1" ht="15"/>
    <row r="276" s="78" customFormat="1" ht="15"/>
    <row r="277" s="78" customFormat="1" ht="15"/>
    <row r="278" s="78" customFormat="1" ht="15"/>
    <row r="279" s="78" customFormat="1" ht="15"/>
    <row r="280" s="78" customFormat="1" ht="15"/>
    <row r="281" s="78" customFormat="1" ht="15"/>
    <row r="282" s="78" customFormat="1" ht="15"/>
    <row r="283" s="78" customFormat="1" ht="15"/>
    <row r="284" s="78" customFormat="1" ht="15"/>
    <row r="285" s="78" customFormat="1" ht="15"/>
    <row r="286" s="78" customFormat="1" ht="15"/>
    <row r="287" s="78" customFormat="1" ht="15"/>
    <row r="288" s="78" customFormat="1" ht="15"/>
    <row r="289" s="78" customFormat="1" ht="15"/>
    <row r="290" s="78" customFormat="1" ht="15"/>
    <row r="291" s="78" customFormat="1" ht="15"/>
    <row r="292" s="78" customFormat="1" ht="15"/>
    <row r="293" s="78" customFormat="1" ht="15"/>
    <row r="294" s="78" customFormat="1" ht="15"/>
    <row r="295" s="78" customFormat="1" ht="15"/>
    <row r="296" s="78" customFormat="1" ht="15"/>
    <row r="297" s="78" customFormat="1" ht="15"/>
    <row r="298" s="78" customFormat="1" ht="15"/>
    <row r="299" s="78" customFormat="1" ht="15"/>
    <row r="300" s="78" customFormat="1" ht="15"/>
    <row r="301" s="78" customFormat="1" ht="15"/>
    <row r="302" s="78" customFormat="1" ht="15"/>
    <row r="303" s="78" customFormat="1" ht="15"/>
    <row r="304" s="78" customFormat="1" ht="15"/>
    <row r="305" s="78" customFormat="1" ht="15"/>
    <row r="306" s="78" customFormat="1" ht="15"/>
    <row r="307" s="78" customFormat="1" ht="15"/>
    <row r="308" s="78" customFormat="1" ht="15"/>
    <row r="309" s="78" customFormat="1" ht="15"/>
    <row r="310" s="78" customFormat="1" ht="15"/>
    <row r="311" s="78" customFormat="1" ht="15"/>
    <row r="312" s="78" customFormat="1" ht="15"/>
    <row r="313" s="78" customFormat="1" ht="15"/>
    <row r="314" s="78" customFormat="1" ht="15"/>
    <row r="315" s="78" customFormat="1" ht="15"/>
    <row r="316" s="78" customFormat="1" ht="15"/>
    <row r="317" s="78" customFormat="1" ht="15"/>
    <row r="318" s="78" customFormat="1" ht="15"/>
    <row r="319" s="78" customFormat="1" ht="15"/>
    <row r="320" s="78" customFormat="1" ht="15"/>
    <row r="321" s="78" customFormat="1" ht="15"/>
    <row r="322" s="78" customFormat="1" ht="15"/>
    <row r="323" s="78" customFormat="1" ht="15"/>
    <row r="324" s="78" customFormat="1" ht="15"/>
    <row r="325" s="78" customFormat="1" ht="15"/>
    <row r="326" s="78" customFormat="1" ht="15"/>
    <row r="327" s="78" customFormat="1" ht="15"/>
    <row r="328" s="78" customFormat="1" ht="15"/>
    <row r="329" s="78" customFormat="1" ht="15"/>
    <row r="330" s="78" customFormat="1" ht="15"/>
    <row r="331" s="78" customFormat="1" ht="15"/>
    <row r="332" s="78" customFormat="1" ht="15"/>
    <row r="333" s="78" customFormat="1" ht="15"/>
    <row r="334" s="78" customFormat="1" ht="15"/>
    <row r="335" s="78" customFormat="1" ht="15"/>
    <row r="336" s="78" customFormat="1" ht="15"/>
    <row r="337" s="78" customFormat="1" ht="15"/>
    <row r="338" s="78" customFormat="1" ht="15"/>
    <row r="339" s="78" customFormat="1" ht="15"/>
    <row r="340" s="78" customFormat="1" ht="15"/>
    <row r="341" s="78" customFormat="1" ht="15"/>
    <row r="342" s="78" customFormat="1" ht="15"/>
    <row r="343" s="78" customFormat="1" ht="15"/>
    <row r="344" s="78" customFormat="1" ht="15"/>
    <row r="345" s="78" customFormat="1" ht="15"/>
    <row r="346" s="78" customFormat="1" ht="15"/>
    <row r="347" s="78" customFormat="1" ht="15"/>
    <row r="348" s="78" customFormat="1" ht="15"/>
    <row r="349" s="78" customFormat="1" ht="15"/>
    <row r="350" s="78" customFormat="1" ht="15"/>
    <row r="351" s="78" customFormat="1" ht="15"/>
    <row r="352" s="78" customFormat="1" ht="15"/>
    <row r="353" s="78" customFormat="1" ht="15"/>
    <row r="354" s="78" customFormat="1" ht="15"/>
    <row r="355" s="78" customFormat="1" ht="15"/>
    <row r="356" s="78" customFormat="1" ht="15"/>
    <row r="357" s="78" customFormat="1" ht="15"/>
    <row r="358" s="78" customFormat="1" ht="15"/>
    <row r="359" s="78" customFormat="1" ht="15"/>
    <row r="360" s="78" customFormat="1" ht="15"/>
    <row r="361" s="78" customFormat="1" ht="15"/>
    <row r="362" s="78" customFormat="1" ht="15"/>
    <row r="363" s="78" customFormat="1" ht="15"/>
    <row r="364" s="78" customFormat="1" ht="15"/>
    <row r="365" s="78" customFormat="1" ht="15"/>
    <row r="366" s="78" customFormat="1" ht="15"/>
    <row r="367" s="78" customFormat="1" ht="15"/>
    <row r="368" s="78" customFormat="1" ht="15"/>
    <row r="369" s="78" customFormat="1" ht="15"/>
    <row r="370" s="78" customFormat="1" ht="15"/>
    <row r="371" s="78" customFormat="1" ht="15"/>
    <row r="372" s="78" customFormat="1" ht="15"/>
    <row r="373" s="78" customFormat="1" ht="15"/>
    <row r="374" s="78" customFormat="1" ht="15"/>
    <row r="375" s="78" customFormat="1" ht="15"/>
    <row r="376" s="78" customFormat="1" ht="15"/>
    <row r="377" s="78" customFormat="1" ht="15"/>
    <row r="378" s="78" customFormat="1" ht="15"/>
    <row r="379" s="78" customFormat="1" ht="15"/>
    <row r="380" s="78" customFormat="1" ht="15"/>
    <row r="381" s="78" customFormat="1" ht="15"/>
    <row r="382" s="78" customFormat="1" ht="15"/>
    <row r="383" s="78" customFormat="1" ht="15"/>
    <row r="384" s="78" customFormat="1" ht="15"/>
    <row r="385" s="78" customFormat="1" ht="15"/>
    <row r="386" s="78" customFormat="1" ht="15"/>
    <row r="387" s="78" customFormat="1" ht="15"/>
    <row r="388" s="78" customFormat="1" ht="15"/>
    <row r="389" s="78" customFormat="1" ht="15"/>
    <row r="390" s="78" customFormat="1" ht="15"/>
    <row r="391" s="78" customFormat="1" ht="15"/>
    <row r="392" s="78" customFormat="1" ht="15"/>
    <row r="393" s="78" customFormat="1" ht="15"/>
    <row r="394" s="78" customFormat="1" ht="15"/>
    <row r="395" s="78" customFormat="1" ht="15"/>
    <row r="396" s="78" customFormat="1" ht="15"/>
    <row r="397" s="78" customFormat="1" ht="15"/>
    <row r="398" s="78" customFormat="1" ht="15"/>
    <row r="399" s="78" customFormat="1" ht="15"/>
    <row r="400" s="78" customFormat="1" ht="15"/>
    <row r="401" s="78" customFormat="1" ht="15"/>
    <row r="402" s="78" customFormat="1" ht="15"/>
    <row r="403" s="78" customFormat="1" ht="15"/>
    <row r="404" s="78" customFormat="1" ht="15"/>
    <row r="405" s="78" customFormat="1" ht="15"/>
    <row r="406" s="78" customFormat="1" ht="15"/>
    <row r="407" s="78" customFormat="1" ht="15"/>
    <row r="408" s="78" customFormat="1" ht="15"/>
    <row r="409" s="78" customFormat="1" ht="15"/>
    <row r="410" s="78" customFormat="1" ht="15"/>
    <row r="411" s="78" customFormat="1" ht="15"/>
    <row r="412" s="78" customFormat="1" ht="15"/>
    <row r="413" s="78" customFormat="1" ht="15"/>
    <row r="414" s="78" customFormat="1" ht="15"/>
    <row r="415" s="78" customFormat="1" ht="15"/>
    <row r="416" s="78" customFormat="1" ht="15"/>
    <row r="417" s="78" customFormat="1" ht="15"/>
    <row r="418" s="78" customFormat="1" ht="15"/>
    <row r="419" s="78" customFormat="1" ht="15"/>
    <row r="420" s="78" customFormat="1" ht="15"/>
    <row r="421" s="78" customFormat="1" ht="15"/>
    <row r="422" s="78" customFormat="1" ht="15"/>
    <row r="423" s="78" customFormat="1" ht="15"/>
    <row r="424" s="78" customFormat="1" ht="15"/>
    <row r="425" s="78" customFormat="1" ht="15"/>
    <row r="426" s="78" customFormat="1" ht="15"/>
    <row r="427" s="78" customFormat="1" ht="15"/>
    <row r="428" s="78" customFormat="1" ht="15"/>
    <row r="429" s="78" customFormat="1" ht="15"/>
    <row r="430" s="78" customFormat="1" ht="15"/>
    <row r="431" s="78" customFormat="1" ht="15"/>
    <row r="432" s="78" customFormat="1" ht="15"/>
    <row r="433" s="78" customFormat="1" ht="15"/>
    <row r="434" s="78" customFormat="1" ht="15"/>
    <row r="435" s="78" customFormat="1" ht="15"/>
    <row r="436" s="78" customFormat="1" ht="15"/>
    <row r="437" s="78" customFormat="1" ht="15"/>
    <row r="438" s="78" customFormat="1" ht="15"/>
  </sheetData>
  <sheetProtection/>
  <mergeCells count="1">
    <mergeCell ref="A4:R4"/>
  </mergeCells>
  <printOptions/>
  <pageMargins left="0" right="0" top="0.1968503937007874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3.57421875" style="498" customWidth="1"/>
    <col min="2" max="2" width="18.140625" style="499" customWidth="1"/>
    <col min="3" max="3" width="11.00390625" style="498" customWidth="1"/>
    <col min="4" max="4" width="13.421875" style="498" customWidth="1"/>
    <col min="5" max="5" width="9.421875" style="498" customWidth="1"/>
    <col min="6" max="6" width="9.8515625" style="498" customWidth="1"/>
    <col min="7" max="7" width="12.7109375" style="500" customWidth="1"/>
    <col min="8" max="8" width="8.57421875" style="499" customWidth="1"/>
    <col min="9" max="9" width="8.8515625" style="499" customWidth="1"/>
    <col min="10" max="10" width="9.28125" style="499" customWidth="1"/>
    <col min="11" max="11" width="11.8515625" style="498" customWidth="1"/>
    <col min="12" max="12" width="9.57421875" style="498" customWidth="1"/>
    <col min="13" max="13" width="9.8515625" style="499" customWidth="1"/>
    <col min="14" max="16384" width="9.140625" style="499" customWidth="1"/>
  </cols>
  <sheetData>
    <row r="1" spans="1:12" s="215" customFormat="1" ht="12.75">
      <c r="A1" s="213"/>
      <c r="B1" s="214"/>
      <c r="D1" s="213"/>
      <c r="E1" s="213"/>
      <c r="G1" s="213"/>
      <c r="K1" s="216" t="s">
        <v>1193</v>
      </c>
      <c r="L1" s="213"/>
    </row>
    <row r="2" spans="1:12" s="215" customFormat="1" ht="12.75">
      <c r="A2" s="213"/>
      <c r="B2" s="214"/>
      <c r="D2" s="213"/>
      <c r="E2" s="213"/>
      <c r="G2" s="213"/>
      <c r="K2" s="216" t="s">
        <v>665</v>
      </c>
      <c r="L2" s="213"/>
    </row>
    <row r="3" spans="1:12" s="215" customFormat="1" ht="12.75">
      <c r="A3" s="213"/>
      <c r="B3" s="214"/>
      <c r="D3" s="213"/>
      <c r="E3" s="213"/>
      <c r="G3" s="213"/>
      <c r="K3" s="214" t="s">
        <v>1202</v>
      </c>
      <c r="L3" s="213"/>
    </row>
    <row r="4" ht="15" customHeight="1"/>
    <row r="5" spans="1:13" ht="18.75" customHeight="1">
      <c r="A5" s="501"/>
      <c r="B5" s="622" t="s">
        <v>1121</v>
      </c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2:12" ht="10.5" customHeight="1">
      <c r="B6" s="498"/>
      <c r="D6" s="502"/>
      <c r="E6" s="502"/>
      <c r="F6" s="502"/>
      <c r="K6" s="502"/>
      <c r="L6" s="502"/>
    </row>
    <row r="7" spans="1:13" s="504" customFormat="1" ht="161.25" customHeight="1">
      <c r="A7" s="219"/>
      <c r="B7" s="219" t="s">
        <v>798</v>
      </c>
      <c r="C7" s="219" t="s">
        <v>634</v>
      </c>
      <c r="D7" s="219" t="s">
        <v>637</v>
      </c>
      <c r="E7" s="219" t="s">
        <v>638</v>
      </c>
      <c r="F7" s="503" t="s">
        <v>1122</v>
      </c>
      <c r="G7" s="219" t="s">
        <v>803</v>
      </c>
      <c r="H7" s="219" t="s">
        <v>641</v>
      </c>
      <c r="I7" s="219" t="s">
        <v>642</v>
      </c>
      <c r="J7" s="219" t="s">
        <v>1123</v>
      </c>
      <c r="K7" s="219" t="s">
        <v>636</v>
      </c>
      <c r="L7" s="219" t="s">
        <v>799</v>
      </c>
      <c r="M7" s="222" t="s">
        <v>698</v>
      </c>
    </row>
    <row r="8" spans="1:13" s="215" customFormat="1" ht="12.75">
      <c r="A8" s="505">
        <v>1</v>
      </c>
      <c r="B8" s="506" t="s">
        <v>808</v>
      </c>
      <c r="C8" s="520">
        <v>51</v>
      </c>
      <c r="D8" s="505">
        <v>98.9</v>
      </c>
      <c r="E8" s="508">
        <v>82.7</v>
      </c>
      <c r="F8" s="509">
        <v>18.7</v>
      </c>
      <c r="G8" s="510">
        <v>14</v>
      </c>
      <c r="H8" s="511">
        <v>98</v>
      </c>
      <c r="I8" s="511">
        <v>21.9</v>
      </c>
      <c r="J8" s="516">
        <v>0</v>
      </c>
      <c r="K8" s="507">
        <v>1.3</v>
      </c>
      <c r="L8" s="33">
        <v>100</v>
      </c>
      <c r="M8" s="511">
        <f aca="true" t="shared" si="0" ref="M8:M27">SUM(C8:L8)</f>
        <v>486.5</v>
      </c>
    </row>
    <row r="9" spans="1:13" s="215" customFormat="1" ht="12.75">
      <c r="A9" s="505">
        <v>2</v>
      </c>
      <c r="B9" s="506" t="s">
        <v>809</v>
      </c>
      <c r="C9" s="520">
        <v>93</v>
      </c>
      <c r="D9" s="505">
        <v>74.2</v>
      </c>
      <c r="E9" s="508">
        <v>199.8</v>
      </c>
      <c r="F9" s="509">
        <v>49.8</v>
      </c>
      <c r="G9" s="510">
        <v>14</v>
      </c>
      <c r="H9" s="511">
        <v>16</v>
      </c>
      <c r="I9" s="511">
        <v>32.2</v>
      </c>
      <c r="J9" s="517">
        <v>0</v>
      </c>
      <c r="K9" s="507">
        <v>1.3</v>
      </c>
      <c r="L9" s="33">
        <v>100</v>
      </c>
      <c r="M9" s="511">
        <f t="shared" si="0"/>
        <v>580.3</v>
      </c>
    </row>
    <row r="10" spans="1:13" s="215" customFormat="1" ht="12.75">
      <c r="A10" s="505">
        <v>3</v>
      </c>
      <c r="B10" s="506" t="s">
        <v>810</v>
      </c>
      <c r="C10" s="520">
        <v>95</v>
      </c>
      <c r="D10" s="505">
        <v>123.7</v>
      </c>
      <c r="E10" s="508">
        <v>289.1</v>
      </c>
      <c r="F10" s="509">
        <v>102.7</v>
      </c>
      <c r="G10" s="510">
        <v>46</v>
      </c>
      <c r="H10" s="511">
        <v>24</v>
      </c>
      <c r="I10" s="511">
        <v>44.6</v>
      </c>
      <c r="J10" s="517">
        <v>0</v>
      </c>
      <c r="K10" s="507">
        <v>2.8</v>
      </c>
      <c r="L10" s="33">
        <v>100</v>
      </c>
      <c r="M10" s="511">
        <f t="shared" si="0"/>
        <v>827.9</v>
      </c>
    </row>
    <row r="11" spans="1:13" s="215" customFormat="1" ht="12.75">
      <c r="A11" s="505">
        <v>4</v>
      </c>
      <c r="B11" s="506" t="s">
        <v>811</v>
      </c>
      <c r="C11" s="520">
        <v>7</v>
      </c>
      <c r="D11" s="505">
        <v>49.5</v>
      </c>
      <c r="E11" s="508">
        <v>50.6</v>
      </c>
      <c r="F11" s="509">
        <v>557.1</v>
      </c>
      <c r="G11" s="510">
        <v>11</v>
      </c>
      <c r="H11" s="511">
        <v>2</v>
      </c>
      <c r="I11" s="511">
        <v>8.9</v>
      </c>
      <c r="J11" s="517">
        <v>0</v>
      </c>
      <c r="K11" s="507">
        <v>2.8</v>
      </c>
      <c r="L11" s="33">
        <v>200</v>
      </c>
      <c r="M11" s="511">
        <f t="shared" si="0"/>
        <v>888.9</v>
      </c>
    </row>
    <row r="12" spans="1:13" s="215" customFormat="1" ht="13.5" customHeight="1">
      <c r="A12" s="505">
        <v>5</v>
      </c>
      <c r="B12" s="506" t="s">
        <v>812</v>
      </c>
      <c r="C12" s="520">
        <v>184</v>
      </c>
      <c r="D12" s="505">
        <v>98.9</v>
      </c>
      <c r="E12" s="508">
        <v>236.3</v>
      </c>
      <c r="F12" s="509">
        <v>102.7</v>
      </c>
      <c r="G12" s="510">
        <v>11</v>
      </c>
      <c r="H12" s="511">
        <v>72</v>
      </c>
      <c r="I12" s="511">
        <v>57.1</v>
      </c>
      <c r="J12" s="517">
        <v>0</v>
      </c>
      <c r="K12" s="507">
        <v>1.3</v>
      </c>
      <c r="L12" s="33">
        <v>100</v>
      </c>
      <c r="M12" s="511">
        <f t="shared" si="0"/>
        <v>863.3000000000001</v>
      </c>
    </row>
    <row r="13" spans="1:13" s="215" customFormat="1" ht="12.75">
      <c r="A13" s="505">
        <v>6</v>
      </c>
      <c r="B13" s="506" t="s">
        <v>813</v>
      </c>
      <c r="C13" s="520">
        <v>1</v>
      </c>
      <c r="D13" s="505">
        <v>74.2</v>
      </c>
      <c r="E13" s="508">
        <v>44.9</v>
      </c>
      <c r="F13" s="509">
        <v>3.1</v>
      </c>
      <c r="G13" s="510">
        <v>11</v>
      </c>
      <c r="H13" s="511">
        <v>0</v>
      </c>
      <c r="I13" s="511">
        <v>7.4</v>
      </c>
      <c r="J13" s="517">
        <v>0</v>
      </c>
      <c r="K13" s="507">
        <v>0</v>
      </c>
      <c r="L13" s="520">
        <v>0</v>
      </c>
      <c r="M13" s="511">
        <f t="shared" si="0"/>
        <v>141.6</v>
      </c>
    </row>
    <row r="14" spans="1:13" s="215" customFormat="1" ht="12.75">
      <c r="A14" s="505">
        <v>7</v>
      </c>
      <c r="B14" s="506" t="s">
        <v>814</v>
      </c>
      <c r="C14" s="520">
        <v>51</v>
      </c>
      <c r="D14" s="505">
        <v>148.4</v>
      </c>
      <c r="E14" s="508">
        <v>279.8</v>
      </c>
      <c r="F14" s="509">
        <v>171.2</v>
      </c>
      <c r="G14" s="510">
        <v>32</v>
      </c>
      <c r="H14" s="511">
        <v>94</v>
      </c>
      <c r="I14" s="511">
        <v>50</v>
      </c>
      <c r="J14" s="516">
        <v>6000</v>
      </c>
      <c r="K14" s="507">
        <v>1.3</v>
      </c>
      <c r="L14" s="33">
        <v>100</v>
      </c>
      <c r="M14" s="511">
        <f t="shared" si="0"/>
        <v>6927.7</v>
      </c>
    </row>
    <row r="15" spans="1:13" s="215" customFormat="1" ht="12.75">
      <c r="A15" s="505">
        <v>8</v>
      </c>
      <c r="B15" s="506" t="s">
        <v>815</v>
      </c>
      <c r="C15" s="520">
        <v>96</v>
      </c>
      <c r="D15" s="505">
        <v>173.1</v>
      </c>
      <c r="E15" s="508">
        <v>368.9</v>
      </c>
      <c r="F15" s="509">
        <v>868.3</v>
      </c>
      <c r="G15" s="510">
        <v>54</v>
      </c>
      <c r="H15" s="511">
        <v>5</v>
      </c>
      <c r="I15" s="511">
        <v>58.7</v>
      </c>
      <c r="J15" s="517">
        <v>0</v>
      </c>
      <c r="K15" s="507">
        <v>3.5</v>
      </c>
      <c r="L15" s="33">
        <v>500</v>
      </c>
      <c r="M15" s="511">
        <f t="shared" si="0"/>
        <v>2127.5</v>
      </c>
    </row>
    <row r="16" spans="1:13" s="215" customFormat="1" ht="12.75">
      <c r="A16" s="505">
        <v>9</v>
      </c>
      <c r="B16" s="506" t="s">
        <v>816</v>
      </c>
      <c r="C16" s="520">
        <v>67</v>
      </c>
      <c r="D16" s="505">
        <v>98.9</v>
      </c>
      <c r="E16" s="508">
        <v>181</v>
      </c>
      <c r="F16" s="509">
        <v>80.9</v>
      </c>
      <c r="G16" s="510">
        <v>11</v>
      </c>
      <c r="H16" s="511">
        <v>3</v>
      </c>
      <c r="I16" s="511">
        <v>27.8</v>
      </c>
      <c r="J16" s="517">
        <v>0</v>
      </c>
      <c r="K16" s="507">
        <v>1.3</v>
      </c>
      <c r="L16" s="33">
        <v>100</v>
      </c>
      <c r="M16" s="511">
        <f t="shared" si="0"/>
        <v>570.9</v>
      </c>
    </row>
    <row r="17" spans="1:13" s="215" customFormat="1" ht="12.75">
      <c r="A17" s="505">
        <v>10</v>
      </c>
      <c r="B17" s="506" t="s">
        <v>817</v>
      </c>
      <c r="C17" s="520">
        <v>20</v>
      </c>
      <c r="D17" s="505">
        <v>74.2</v>
      </c>
      <c r="E17" s="508">
        <v>120.1</v>
      </c>
      <c r="F17" s="509">
        <v>71.6</v>
      </c>
      <c r="G17" s="510">
        <v>11</v>
      </c>
      <c r="H17" s="511">
        <v>29</v>
      </c>
      <c r="I17" s="511">
        <v>15.8</v>
      </c>
      <c r="J17" s="517">
        <v>0</v>
      </c>
      <c r="K17" s="507">
        <v>3</v>
      </c>
      <c r="L17" s="33">
        <v>200</v>
      </c>
      <c r="M17" s="511">
        <f t="shared" si="0"/>
        <v>544.7</v>
      </c>
    </row>
    <row r="18" spans="1:13" s="215" customFormat="1" ht="15.75" customHeight="1">
      <c r="A18" s="505">
        <v>11</v>
      </c>
      <c r="B18" s="506" t="s">
        <v>818</v>
      </c>
      <c r="C18" s="520">
        <v>6</v>
      </c>
      <c r="D18" s="505">
        <v>74.2</v>
      </c>
      <c r="E18" s="508">
        <v>97.7</v>
      </c>
      <c r="F18" s="509">
        <v>68.5</v>
      </c>
      <c r="G18" s="510">
        <v>7</v>
      </c>
      <c r="H18" s="511">
        <v>10</v>
      </c>
      <c r="I18" s="511">
        <v>9</v>
      </c>
      <c r="J18" s="517">
        <v>0</v>
      </c>
      <c r="K18" s="507">
        <v>1.3</v>
      </c>
      <c r="L18" s="33">
        <v>100</v>
      </c>
      <c r="M18" s="511">
        <f t="shared" si="0"/>
        <v>373.7</v>
      </c>
    </row>
    <row r="19" spans="1:13" s="215" customFormat="1" ht="12.75">
      <c r="A19" s="505">
        <v>12</v>
      </c>
      <c r="B19" s="506" t="s">
        <v>819</v>
      </c>
      <c r="C19" s="520">
        <v>0</v>
      </c>
      <c r="D19" s="505">
        <v>98.9</v>
      </c>
      <c r="E19" s="508">
        <v>83.2</v>
      </c>
      <c r="F19" s="509">
        <v>31.1</v>
      </c>
      <c r="G19" s="510">
        <v>0</v>
      </c>
      <c r="H19" s="511">
        <v>0</v>
      </c>
      <c r="I19" s="511">
        <v>13.7</v>
      </c>
      <c r="J19" s="517">
        <v>0</v>
      </c>
      <c r="K19" s="507">
        <v>1.3</v>
      </c>
      <c r="L19" s="33">
        <v>100</v>
      </c>
      <c r="M19" s="511">
        <f t="shared" si="0"/>
        <v>328.20000000000005</v>
      </c>
    </row>
    <row r="20" spans="1:13" s="215" customFormat="1" ht="12.75">
      <c r="A20" s="505">
        <v>13</v>
      </c>
      <c r="B20" s="506" t="s">
        <v>820</v>
      </c>
      <c r="C20" s="520">
        <v>74</v>
      </c>
      <c r="D20" s="505">
        <v>123.7</v>
      </c>
      <c r="E20" s="508">
        <v>270.6</v>
      </c>
      <c r="F20" s="509">
        <v>87.1</v>
      </c>
      <c r="G20" s="510">
        <v>18</v>
      </c>
      <c r="H20" s="511">
        <v>2</v>
      </c>
      <c r="I20" s="511">
        <v>29.7</v>
      </c>
      <c r="J20" s="517">
        <v>0</v>
      </c>
      <c r="K20" s="507">
        <v>1.3</v>
      </c>
      <c r="L20" s="33">
        <v>100</v>
      </c>
      <c r="M20" s="511">
        <f t="shared" si="0"/>
        <v>706.4</v>
      </c>
    </row>
    <row r="21" spans="1:13" s="215" customFormat="1" ht="12.75">
      <c r="A21" s="505">
        <v>14</v>
      </c>
      <c r="B21" s="506" t="s">
        <v>821</v>
      </c>
      <c r="C21" s="520">
        <v>22</v>
      </c>
      <c r="D21" s="505">
        <v>24.7</v>
      </c>
      <c r="E21" s="508">
        <v>137.8</v>
      </c>
      <c r="F21" s="509">
        <v>3.1</v>
      </c>
      <c r="G21" s="510">
        <v>14</v>
      </c>
      <c r="H21" s="511">
        <v>0</v>
      </c>
      <c r="I21" s="511">
        <v>9.5</v>
      </c>
      <c r="J21" s="517">
        <v>0</v>
      </c>
      <c r="K21" s="507">
        <v>0</v>
      </c>
      <c r="L21" s="520">
        <v>0</v>
      </c>
      <c r="M21" s="511">
        <f t="shared" si="0"/>
        <v>211.1</v>
      </c>
    </row>
    <row r="22" spans="1:13" s="215" customFormat="1" ht="12.75">
      <c r="A22" s="505">
        <v>15</v>
      </c>
      <c r="B22" s="506" t="s">
        <v>822</v>
      </c>
      <c r="C22" s="520">
        <v>0</v>
      </c>
      <c r="D22" s="505">
        <v>123.7</v>
      </c>
      <c r="E22" s="508">
        <v>401.1</v>
      </c>
      <c r="F22" s="509">
        <v>40.5</v>
      </c>
      <c r="G22" s="510">
        <v>0</v>
      </c>
      <c r="H22" s="511">
        <v>0</v>
      </c>
      <c r="I22" s="511">
        <v>57.6</v>
      </c>
      <c r="J22" s="517">
        <v>8000</v>
      </c>
      <c r="K22" s="507">
        <v>1.3</v>
      </c>
      <c r="L22" s="33">
        <v>100</v>
      </c>
      <c r="M22" s="511">
        <f t="shared" si="0"/>
        <v>8724.199999999999</v>
      </c>
    </row>
    <row r="23" spans="1:13" s="215" customFormat="1" ht="14.25" customHeight="1">
      <c r="A23" s="505">
        <v>16</v>
      </c>
      <c r="B23" s="506" t="s">
        <v>823</v>
      </c>
      <c r="C23" s="520">
        <v>101</v>
      </c>
      <c r="D23" s="505">
        <v>74.2</v>
      </c>
      <c r="E23" s="508">
        <v>373.3</v>
      </c>
      <c r="F23" s="509">
        <v>77.8</v>
      </c>
      <c r="G23" s="510">
        <v>21</v>
      </c>
      <c r="H23" s="511">
        <v>2</v>
      </c>
      <c r="I23" s="511">
        <v>34.1</v>
      </c>
      <c r="J23" s="517">
        <v>0</v>
      </c>
      <c r="K23" s="507">
        <v>4.5</v>
      </c>
      <c r="L23" s="33">
        <v>350</v>
      </c>
      <c r="M23" s="511">
        <f t="shared" si="0"/>
        <v>1037.9</v>
      </c>
    </row>
    <row r="24" spans="1:13" s="215" customFormat="1" ht="12.75">
      <c r="A24" s="505">
        <v>17</v>
      </c>
      <c r="B24" s="506" t="s">
        <v>824</v>
      </c>
      <c r="C24" s="33">
        <v>27.9</v>
      </c>
      <c r="D24" s="505">
        <v>74.2</v>
      </c>
      <c r="E24" s="508">
        <v>156.1</v>
      </c>
      <c r="F24" s="509">
        <v>127.6</v>
      </c>
      <c r="G24" s="510">
        <v>21.7</v>
      </c>
      <c r="H24" s="511">
        <v>9.9</v>
      </c>
      <c r="I24" s="511">
        <v>22.4</v>
      </c>
      <c r="J24" s="517">
        <v>0</v>
      </c>
      <c r="K24" s="507">
        <v>2</v>
      </c>
      <c r="L24" s="33">
        <v>200</v>
      </c>
      <c r="M24" s="511">
        <f t="shared" si="0"/>
        <v>641.8</v>
      </c>
    </row>
    <row r="25" spans="1:13" s="215" customFormat="1" ht="12.75">
      <c r="A25" s="505">
        <v>18</v>
      </c>
      <c r="B25" s="506" t="s">
        <v>825</v>
      </c>
      <c r="C25" s="520">
        <v>7</v>
      </c>
      <c r="D25" s="505">
        <v>98.9</v>
      </c>
      <c r="E25" s="508">
        <v>82.8</v>
      </c>
      <c r="F25" s="509">
        <v>96.5</v>
      </c>
      <c r="G25" s="510">
        <v>11</v>
      </c>
      <c r="H25" s="511">
        <v>4</v>
      </c>
      <c r="I25" s="511">
        <v>7.3</v>
      </c>
      <c r="J25" s="517">
        <v>0</v>
      </c>
      <c r="K25" s="507">
        <v>1.3</v>
      </c>
      <c r="L25" s="33">
        <v>100</v>
      </c>
      <c r="M25" s="511">
        <f t="shared" si="0"/>
        <v>408.8</v>
      </c>
    </row>
    <row r="26" spans="1:13" s="215" customFormat="1" ht="12.75">
      <c r="A26" s="505">
        <v>19</v>
      </c>
      <c r="B26" s="506" t="s">
        <v>826</v>
      </c>
      <c r="C26" s="520">
        <v>16</v>
      </c>
      <c r="D26" s="505">
        <v>98.9</v>
      </c>
      <c r="E26" s="508">
        <v>125.3</v>
      </c>
      <c r="F26" s="509">
        <v>43.6</v>
      </c>
      <c r="G26" s="510">
        <v>14</v>
      </c>
      <c r="H26" s="511">
        <v>3</v>
      </c>
      <c r="I26" s="511">
        <v>14.6</v>
      </c>
      <c r="J26" s="517">
        <v>0</v>
      </c>
      <c r="K26" s="507">
        <v>1.4</v>
      </c>
      <c r="L26" s="33">
        <v>100</v>
      </c>
      <c r="M26" s="511">
        <f t="shared" si="0"/>
        <v>416.8</v>
      </c>
    </row>
    <row r="27" spans="1:13" s="356" customFormat="1" ht="15" customHeight="1">
      <c r="A27" s="505">
        <v>20</v>
      </c>
      <c r="B27" s="506" t="s">
        <v>827</v>
      </c>
      <c r="C27" s="520">
        <v>79</v>
      </c>
      <c r="D27" s="505">
        <v>123.6</v>
      </c>
      <c r="E27" s="508">
        <v>359.8</v>
      </c>
      <c r="F27" s="509">
        <v>118.3</v>
      </c>
      <c r="G27" s="510">
        <v>32</v>
      </c>
      <c r="H27" s="511">
        <v>20</v>
      </c>
      <c r="I27" s="511">
        <v>53.4</v>
      </c>
      <c r="J27" s="517">
        <v>0</v>
      </c>
      <c r="K27" s="507">
        <v>1.5</v>
      </c>
      <c r="L27" s="33">
        <v>100</v>
      </c>
      <c r="M27" s="511">
        <f t="shared" si="0"/>
        <v>887.5999999999999</v>
      </c>
    </row>
    <row r="28" spans="1:13" s="515" customFormat="1" ht="12">
      <c r="A28" s="235"/>
      <c r="B28" s="236" t="s">
        <v>828</v>
      </c>
      <c r="C28" s="512">
        <f aca="true" t="shared" si="1" ref="C28:M28">SUM(C8:C27)</f>
        <v>997.9</v>
      </c>
      <c r="D28" s="513">
        <f t="shared" si="1"/>
        <v>1929.0000000000005</v>
      </c>
      <c r="E28" s="514">
        <f t="shared" si="1"/>
        <v>3940.9000000000005</v>
      </c>
      <c r="F28" s="514">
        <f t="shared" si="1"/>
        <v>2720.2</v>
      </c>
      <c r="G28" s="514">
        <f t="shared" si="1"/>
        <v>353.7</v>
      </c>
      <c r="H28" s="514">
        <f t="shared" si="1"/>
        <v>393.9</v>
      </c>
      <c r="I28" s="514">
        <f t="shared" si="1"/>
        <v>575.7</v>
      </c>
      <c r="J28" s="518">
        <f>SUM(J8:J27)</f>
        <v>14000</v>
      </c>
      <c r="K28" s="512">
        <f t="shared" si="1"/>
        <v>34.50000000000001</v>
      </c>
      <c r="L28" s="512">
        <f t="shared" si="1"/>
        <v>2750</v>
      </c>
      <c r="M28" s="519">
        <f t="shared" si="1"/>
        <v>27695.8</v>
      </c>
    </row>
  </sheetData>
  <sheetProtection/>
  <mergeCells count="1">
    <mergeCell ref="B5:M5"/>
  </mergeCells>
  <printOptions/>
  <pageMargins left="0.3937007874015748" right="0" top="0.3937007874015748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8515625" style="380" customWidth="1"/>
    <col min="2" max="2" width="54.7109375" style="380" customWidth="1"/>
    <col min="3" max="4" width="15.28125" style="380" customWidth="1"/>
    <col min="5" max="16384" width="9.140625" style="380" customWidth="1"/>
  </cols>
  <sheetData>
    <row r="1" spans="3:4" ht="18" customHeight="1">
      <c r="C1" s="381" t="s">
        <v>1192</v>
      </c>
      <c r="D1" s="382"/>
    </row>
    <row r="2" spans="3:4" ht="15">
      <c r="C2" s="381" t="s">
        <v>695</v>
      </c>
      <c r="D2" s="382"/>
    </row>
    <row r="3" spans="3:4" ht="15">
      <c r="C3" s="576" t="s">
        <v>1202</v>
      </c>
      <c r="D3" s="576"/>
    </row>
    <row r="4" ht="6" customHeight="1"/>
    <row r="5" spans="1:4" ht="32.25" customHeight="1">
      <c r="A5" s="629" t="s">
        <v>978</v>
      </c>
      <c r="B5" s="629"/>
      <c r="C5" s="629"/>
      <c r="D5" s="629"/>
    </row>
    <row r="6" spans="1:4" ht="9.75" customHeight="1">
      <c r="A6" s="383" t="s">
        <v>206</v>
      </c>
      <c r="D6" s="384"/>
    </row>
    <row r="7" spans="1:4" s="387" customFormat="1" ht="28.5" customHeight="1">
      <c r="A7" s="385" t="s">
        <v>747</v>
      </c>
      <c r="B7" s="386" t="s">
        <v>979</v>
      </c>
      <c r="C7" s="625" t="s">
        <v>22</v>
      </c>
      <c r="D7" s="626"/>
    </row>
    <row r="8" spans="1:4" ht="42" customHeight="1">
      <c r="A8" s="388" t="s">
        <v>753</v>
      </c>
      <c r="B8" s="389" t="s">
        <v>980</v>
      </c>
      <c r="C8" s="627"/>
      <c r="D8" s="627"/>
    </row>
    <row r="9" spans="1:4" ht="15">
      <c r="A9" s="391" t="s">
        <v>981</v>
      </c>
      <c r="B9" s="392" t="s">
        <v>982</v>
      </c>
      <c r="C9" s="628">
        <v>0</v>
      </c>
      <c r="D9" s="628"/>
    </row>
    <row r="10" spans="1:4" ht="15">
      <c r="A10" s="391" t="s">
        <v>983</v>
      </c>
      <c r="B10" s="392" t="s">
        <v>984</v>
      </c>
      <c r="C10" s="628">
        <v>0</v>
      </c>
      <c r="D10" s="628"/>
    </row>
    <row r="11" spans="1:4" ht="15">
      <c r="A11" s="391" t="s">
        <v>985</v>
      </c>
      <c r="B11" s="392" t="s">
        <v>986</v>
      </c>
      <c r="C11" s="628">
        <v>0</v>
      </c>
      <c r="D11" s="628"/>
    </row>
    <row r="12" spans="1:4" ht="15">
      <c r="A12" s="391" t="s">
        <v>987</v>
      </c>
      <c r="B12" s="392" t="s">
        <v>988</v>
      </c>
      <c r="C12" s="628">
        <v>0</v>
      </c>
      <c r="D12" s="628"/>
    </row>
    <row r="13" spans="1:4" ht="15">
      <c r="A13" s="388" t="s">
        <v>757</v>
      </c>
      <c r="B13" s="394" t="s">
        <v>989</v>
      </c>
      <c r="C13" s="627"/>
      <c r="D13" s="627"/>
    </row>
    <row r="14" spans="1:4" ht="15">
      <c r="A14" s="391" t="s">
        <v>990</v>
      </c>
      <c r="B14" s="392" t="s">
        <v>982</v>
      </c>
      <c r="C14" s="628">
        <v>0</v>
      </c>
      <c r="D14" s="628"/>
    </row>
    <row r="15" spans="1:4" ht="15">
      <c r="A15" s="391" t="s">
        <v>991</v>
      </c>
      <c r="B15" s="392" t="s">
        <v>984</v>
      </c>
      <c r="C15" s="628">
        <v>45000</v>
      </c>
      <c r="D15" s="628"/>
    </row>
    <row r="16" spans="1:4" ht="15">
      <c r="A16" s="391" t="s">
        <v>992</v>
      </c>
      <c r="B16" s="392" t="s">
        <v>986</v>
      </c>
      <c r="C16" s="628">
        <v>0</v>
      </c>
      <c r="D16" s="628"/>
    </row>
    <row r="17" spans="1:4" ht="19.5" customHeight="1">
      <c r="A17" s="391" t="s">
        <v>993</v>
      </c>
      <c r="B17" s="392" t="s">
        <v>988</v>
      </c>
      <c r="C17" s="628">
        <f>C14+C15-C16</f>
        <v>45000</v>
      </c>
      <c r="D17" s="628"/>
    </row>
    <row r="18" spans="1:4" ht="19.5" customHeight="1">
      <c r="A18" s="395"/>
      <c r="B18" s="396"/>
      <c r="C18" s="397"/>
      <c r="D18" s="397"/>
    </row>
    <row r="19" spans="1:4" ht="34.5" customHeight="1">
      <c r="A19" s="395"/>
      <c r="B19" s="396"/>
      <c r="C19" s="381" t="s">
        <v>1194</v>
      </c>
      <c r="D19" s="397"/>
    </row>
    <row r="20" spans="3:4" ht="17.25" customHeight="1">
      <c r="C20" s="381" t="s">
        <v>695</v>
      </c>
      <c r="D20" s="382"/>
    </row>
    <row r="21" spans="3:4" ht="15" customHeight="1">
      <c r="C21" s="576" t="s">
        <v>1202</v>
      </c>
      <c r="D21" s="576"/>
    </row>
    <row r="22" ht="10.5" customHeight="1"/>
    <row r="23" spans="1:4" ht="30.75" customHeight="1">
      <c r="A23" s="629" t="s">
        <v>994</v>
      </c>
      <c r="B23" s="629"/>
      <c r="C23" s="629"/>
      <c r="D23" s="629"/>
    </row>
    <row r="24" spans="1:4" ht="11.25" customHeight="1">
      <c r="A24" s="383" t="s">
        <v>206</v>
      </c>
      <c r="D24" s="384"/>
    </row>
    <row r="25" spans="1:4" s="387" customFormat="1" ht="12.75" customHeight="1">
      <c r="A25" s="386" t="s">
        <v>747</v>
      </c>
      <c r="B25" s="386" t="s">
        <v>979</v>
      </c>
      <c r="C25" s="386" t="s">
        <v>995</v>
      </c>
      <c r="D25" s="386" t="s">
        <v>791</v>
      </c>
    </row>
    <row r="26" spans="1:4" s="387" customFormat="1" ht="46.5" customHeight="1">
      <c r="A26" s="388" t="s">
        <v>753</v>
      </c>
      <c r="B26" s="389" t="s">
        <v>980</v>
      </c>
      <c r="C26" s="390"/>
      <c r="D26" s="390"/>
    </row>
    <row r="27" spans="1:4" ht="19.5" customHeight="1">
      <c r="A27" s="391" t="s">
        <v>981</v>
      </c>
      <c r="B27" s="392" t="s">
        <v>996</v>
      </c>
      <c r="C27" s="393">
        <v>0</v>
      </c>
      <c r="D27" s="393">
        <v>0</v>
      </c>
    </row>
    <row r="28" spans="1:4" ht="15">
      <c r="A28" s="391" t="s">
        <v>983</v>
      </c>
      <c r="B28" s="392" t="s">
        <v>997</v>
      </c>
      <c r="C28" s="393">
        <v>0</v>
      </c>
      <c r="D28" s="393">
        <v>0</v>
      </c>
    </row>
    <row r="29" spans="1:4" ht="30">
      <c r="A29" s="391" t="s">
        <v>985</v>
      </c>
      <c r="B29" s="392" t="s">
        <v>998</v>
      </c>
      <c r="C29" s="393">
        <v>0</v>
      </c>
      <c r="D29" s="393">
        <v>0</v>
      </c>
    </row>
    <row r="30" spans="1:4" ht="15">
      <c r="A30" s="391" t="s">
        <v>987</v>
      </c>
      <c r="B30" s="392" t="s">
        <v>988</v>
      </c>
      <c r="C30" s="393">
        <f>C27+C28-C29</f>
        <v>0</v>
      </c>
      <c r="D30" s="393">
        <f>D26+D27-D28</f>
        <v>0</v>
      </c>
    </row>
    <row r="31" spans="1:4" ht="15">
      <c r="A31" s="391" t="s">
        <v>999</v>
      </c>
      <c r="B31" s="392" t="s">
        <v>1000</v>
      </c>
      <c r="C31" s="393">
        <f>C28+C29-C30</f>
        <v>0</v>
      </c>
      <c r="D31" s="393">
        <f>D27+D28-D29</f>
        <v>0</v>
      </c>
    </row>
    <row r="32" spans="1:4" ht="15">
      <c r="A32" s="388" t="s">
        <v>757</v>
      </c>
      <c r="B32" s="394" t="s">
        <v>989</v>
      </c>
      <c r="C32" s="390"/>
      <c r="D32" s="390"/>
    </row>
    <row r="33" spans="1:4" ht="15">
      <c r="A33" s="391" t="s">
        <v>990</v>
      </c>
      <c r="B33" s="392" t="s">
        <v>996</v>
      </c>
      <c r="C33" s="393">
        <v>45000</v>
      </c>
      <c r="D33" s="393">
        <v>22500</v>
      </c>
    </row>
    <row r="34" spans="1:4" ht="15">
      <c r="A34" s="391" t="s">
        <v>991</v>
      </c>
      <c r="B34" s="392" t="s">
        <v>997</v>
      </c>
      <c r="C34" s="398">
        <v>0</v>
      </c>
      <c r="D34" s="398">
        <v>0</v>
      </c>
    </row>
    <row r="35" spans="1:4" ht="30">
      <c r="A35" s="391" t="s">
        <v>992</v>
      </c>
      <c r="B35" s="392" t="s">
        <v>998</v>
      </c>
      <c r="C35" s="398">
        <v>22500</v>
      </c>
      <c r="D35" s="398">
        <v>22500</v>
      </c>
    </row>
    <row r="36" spans="1:4" ht="15">
      <c r="A36" s="391" t="s">
        <v>993</v>
      </c>
      <c r="B36" s="392" t="s">
        <v>988</v>
      </c>
      <c r="C36" s="398">
        <f>C33+C34-C35</f>
        <v>22500</v>
      </c>
      <c r="D36" s="398">
        <v>0</v>
      </c>
    </row>
    <row r="37" spans="1:4" ht="15">
      <c r="A37" s="398" t="s">
        <v>1001</v>
      </c>
      <c r="B37" s="392" t="s">
        <v>1000</v>
      </c>
      <c r="C37" s="398">
        <v>0</v>
      </c>
      <c r="D37" s="398">
        <f>D33+D34-D35</f>
        <v>0</v>
      </c>
    </row>
  </sheetData>
  <sheetProtection/>
  <mergeCells count="15">
    <mergeCell ref="A23:D23"/>
    <mergeCell ref="C12:D12"/>
    <mergeCell ref="C13:D13"/>
    <mergeCell ref="C14:D14"/>
    <mergeCell ref="C15:D15"/>
    <mergeCell ref="C16:D16"/>
    <mergeCell ref="C17:D17"/>
    <mergeCell ref="C21:D21"/>
    <mergeCell ref="C7:D7"/>
    <mergeCell ref="C8:D8"/>
    <mergeCell ref="C9:D9"/>
    <mergeCell ref="C10:D10"/>
    <mergeCell ref="C11:D11"/>
    <mergeCell ref="C3:D3"/>
    <mergeCell ref="A5:D5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00390625" style="204" customWidth="1"/>
    <col min="2" max="2" width="22.7109375" style="204" customWidth="1"/>
    <col min="3" max="3" width="25.140625" style="204" customWidth="1"/>
    <col min="4" max="4" width="26.140625" style="204" customWidth="1"/>
    <col min="5" max="5" width="8.421875" style="204" customWidth="1"/>
    <col min="6" max="6" width="10.00390625" style="205" customWidth="1"/>
    <col min="7" max="16384" width="9.140625" style="204" customWidth="1"/>
  </cols>
  <sheetData>
    <row r="1" spans="4:6" s="199" customFormat="1" ht="12.75">
      <c r="D1" s="575" t="s">
        <v>972</v>
      </c>
      <c r="E1" s="575"/>
      <c r="F1" s="575"/>
    </row>
    <row r="2" spans="4:6" s="199" customFormat="1" ht="12.75">
      <c r="D2" s="576" t="s">
        <v>792</v>
      </c>
      <c r="E2" s="576"/>
      <c r="F2" s="576"/>
    </row>
    <row r="3" spans="4:6" s="199" customFormat="1" ht="12" customHeight="1">
      <c r="D3" s="577" t="str">
        <f>1!$B$3</f>
        <v>от 30.05.2013 № 353</v>
      </c>
      <c r="E3" s="576"/>
      <c r="F3" s="576"/>
    </row>
    <row r="4" s="202" customFormat="1" ht="9.75" customHeight="1">
      <c r="F4" s="203"/>
    </row>
    <row r="5" spans="1:6" s="202" customFormat="1" ht="14.25" customHeight="1">
      <c r="A5" s="578" t="s">
        <v>745</v>
      </c>
      <c r="B5" s="578"/>
      <c r="C5" s="578"/>
      <c r="D5" s="578"/>
      <c r="E5" s="578"/>
      <c r="F5" s="578"/>
    </row>
    <row r="6" spans="1:6" s="202" customFormat="1" ht="32.25" customHeight="1">
      <c r="A6" s="579" t="s">
        <v>746</v>
      </c>
      <c r="B6" s="579"/>
      <c r="C6" s="579"/>
      <c r="D6" s="579"/>
      <c r="E6" s="579"/>
      <c r="F6" s="579"/>
    </row>
    <row r="7" ht="5.25" customHeight="1"/>
    <row r="8" spans="1:6" s="206" customFormat="1" ht="49.5" customHeight="1">
      <c r="A8" s="522" t="s">
        <v>747</v>
      </c>
      <c r="B8" s="533" t="s">
        <v>748</v>
      </c>
      <c r="C8" s="533" t="s">
        <v>749</v>
      </c>
      <c r="D8" s="533" t="s">
        <v>750</v>
      </c>
      <c r="E8" s="522" t="s">
        <v>751</v>
      </c>
      <c r="F8" s="522" t="s">
        <v>1144</v>
      </c>
    </row>
    <row r="9" spans="1:6" s="202" customFormat="1" ht="16.5" customHeight="1">
      <c r="A9" s="574" t="s">
        <v>752</v>
      </c>
      <c r="B9" s="574"/>
      <c r="C9" s="574"/>
      <c r="D9" s="574"/>
      <c r="E9" s="574"/>
      <c r="F9" s="574"/>
    </row>
    <row r="10" spans="1:6" s="202" customFormat="1" ht="40.5" customHeight="1">
      <c r="A10" s="523" t="s">
        <v>753</v>
      </c>
      <c r="B10" s="522" t="s">
        <v>754</v>
      </c>
      <c r="C10" s="522" t="s">
        <v>755</v>
      </c>
      <c r="D10" s="522" t="s">
        <v>756</v>
      </c>
      <c r="E10" s="526" t="s">
        <v>1124</v>
      </c>
      <c r="F10" s="527">
        <v>1000</v>
      </c>
    </row>
    <row r="11" spans="1:6" s="202" customFormat="1" ht="54" customHeight="1">
      <c r="A11" s="523" t="s">
        <v>757</v>
      </c>
      <c r="B11" s="522" t="s">
        <v>758</v>
      </c>
      <c r="C11" s="522" t="s">
        <v>1145</v>
      </c>
      <c r="D11" s="522" t="s">
        <v>1125</v>
      </c>
      <c r="E11" s="526" t="s">
        <v>1126</v>
      </c>
      <c r="F11" s="527">
        <v>4000</v>
      </c>
    </row>
    <row r="12" spans="1:6" s="202" customFormat="1" ht="51">
      <c r="A12" s="523" t="s">
        <v>759</v>
      </c>
      <c r="B12" s="522" t="s">
        <v>1127</v>
      </c>
      <c r="C12" s="522" t="s">
        <v>1128</v>
      </c>
      <c r="D12" s="522" t="s">
        <v>1129</v>
      </c>
      <c r="E12" s="526">
        <v>1962</v>
      </c>
      <c r="F12" s="527">
        <v>200</v>
      </c>
    </row>
    <row r="13" spans="1:6" s="202" customFormat="1" ht="107.25" customHeight="1">
      <c r="A13" s="523" t="s">
        <v>766</v>
      </c>
      <c r="B13" s="522" t="s">
        <v>1130</v>
      </c>
      <c r="C13" s="522" t="s">
        <v>761</v>
      </c>
      <c r="D13" s="522" t="s">
        <v>1131</v>
      </c>
      <c r="E13" s="526" t="s">
        <v>1132</v>
      </c>
      <c r="F13" s="527">
        <v>1286.41</v>
      </c>
    </row>
    <row r="14" spans="1:6" s="202" customFormat="1" ht="52.5" customHeight="1">
      <c r="A14" s="523" t="s">
        <v>767</v>
      </c>
      <c r="B14" s="522" t="s">
        <v>763</v>
      </c>
      <c r="C14" s="522" t="s">
        <v>764</v>
      </c>
      <c r="D14" s="522" t="s">
        <v>765</v>
      </c>
      <c r="E14" s="526" t="s">
        <v>1132</v>
      </c>
      <c r="F14" s="527">
        <v>1586.33</v>
      </c>
    </row>
    <row r="15" spans="1:6" s="202" customFormat="1" ht="63.75">
      <c r="A15" s="523" t="s">
        <v>760</v>
      </c>
      <c r="B15" s="522" t="s">
        <v>1133</v>
      </c>
      <c r="C15" s="522" t="s">
        <v>1134</v>
      </c>
      <c r="D15" s="522" t="s">
        <v>1135</v>
      </c>
      <c r="E15" s="526">
        <v>1980</v>
      </c>
      <c r="F15" s="528">
        <v>630</v>
      </c>
    </row>
    <row r="16" spans="1:6" s="202" customFormat="1" ht="114.75">
      <c r="A16" s="523" t="s">
        <v>762</v>
      </c>
      <c r="B16" s="522" t="s">
        <v>768</v>
      </c>
      <c r="C16" s="522" t="s">
        <v>1136</v>
      </c>
      <c r="D16" s="522" t="s">
        <v>1137</v>
      </c>
      <c r="E16" s="526">
        <v>1956</v>
      </c>
      <c r="F16" s="528">
        <v>1450</v>
      </c>
    </row>
    <row r="17" spans="1:6" s="202" customFormat="1" ht="65.25" customHeight="1">
      <c r="A17" s="523" t="s">
        <v>769</v>
      </c>
      <c r="B17" s="522" t="s">
        <v>770</v>
      </c>
      <c r="C17" s="522" t="s">
        <v>771</v>
      </c>
      <c r="D17" s="522" t="s">
        <v>772</v>
      </c>
      <c r="E17" s="526">
        <v>2012</v>
      </c>
      <c r="F17" s="527">
        <v>610.06</v>
      </c>
    </row>
    <row r="18" spans="1:6" s="202" customFormat="1" ht="38.25">
      <c r="A18" s="523" t="s">
        <v>773</v>
      </c>
      <c r="B18" s="522" t="s">
        <v>774</v>
      </c>
      <c r="C18" s="522" t="s">
        <v>775</v>
      </c>
      <c r="D18" s="522" t="s">
        <v>776</v>
      </c>
      <c r="E18" s="526">
        <v>2009</v>
      </c>
      <c r="F18" s="527">
        <v>511.66</v>
      </c>
    </row>
    <row r="19" spans="1:6" s="202" customFormat="1" ht="81.75" customHeight="1">
      <c r="A19" s="523" t="s">
        <v>777</v>
      </c>
      <c r="B19" s="522" t="s">
        <v>778</v>
      </c>
      <c r="C19" s="522" t="s">
        <v>779</v>
      </c>
      <c r="D19" s="522" t="s">
        <v>780</v>
      </c>
      <c r="E19" s="526">
        <v>2012</v>
      </c>
      <c r="F19" s="527">
        <v>1090.17</v>
      </c>
    </row>
    <row r="20" spans="1:6" s="202" customFormat="1" ht="66" customHeight="1">
      <c r="A20" s="523" t="s">
        <v>781</v>
      </c>
      <c r="B20" s="522" t="s">
        <v>782</v>
      </c>
      <c r="C20" s="522" t="s">
        <v>783</v>
      </c>
      <c r="D20" s="522" t="s">
        <v>784</v>
      </c>
      <c r="E20" s="526">
        <v>2012</v>
      </c>
      <c r="F20" s="528">
        <v>1022.63</v>
      </c>
    </row>
    <row r="21" spans="1:6" s="202" customFormat="1" ht="51">
      <c r="A21" s="523" t="s">
        <v>1138</v>
      </c>
      <c r="B21" s="522" t="s">
        <v>785</v>
      </c>
      <c r="C21" s="522" t="s">
        <v>786</v>
      </c>
      <c r="D21" s="522" t="s">
        <v>787</v>
      </c>
      <c r="E21" s="526">
        <v>2012</v>
      </c>
      <c r="F21" s="527">
        <v>10257.59</v>
      </c>
    </row>
    <row r="22" spans="1:6" ht="136.5" customHeight="1">
      <c r="A22" s="523" t="s">
        <v>1139</v>
      </c>
      <c r="B22" s="522" t="s">
        <v>1140</v>
      </c>
      <c r="C22" s="522" t="s">
        <v>1141</v>
      </c>
      <c r="D22" s="522" t="s">
        <v>1142</v>
      </c>
      <c r="E22" s="526">
        <v>1918</v>
      </c>
      <c r="F22" s="527">
        <v>500</v>
      </c>
    </row>
    <row r="23" spans="1:6" ht="139.5" customHeight="1">
      <c r="A23" s="529"/>
      <c r="B23" s="530" t="s">
        <v>788</v>
      </c>
      <c r="C23" s="529"/>
      <c r="D23" s="531"/>
      <c r="E23" s="529"/>
      <c r="F23" s="532">
        <v>24144.85</v>
      </c>
    </row>
    <row r="24" spans="1:6" s="209" customFormat="1" ht="12" customHeight="1">
      <c r="A24" s="574" t="s">
        <v>789</v>
      </c>
      <c r="B24" s="574"/>
      <c r="C24" s="574"/>
      <c r="D24" s="574"/>
      <c r="E24" s="574"/>
      <c r="F24" s="574"/>
    </row>
    <row r="25" spans="1:6" ht="18.75" customHeight="1">
      <c r="A25" s="523" t="s">
        <v>23</v>
      </c>
      <c r="B25" s="521" t="s">
        <v>790</v>
      </c>
      <c r="C25" s="521" t="s">
        <v>1143</v>
      </c>
      <c r="D25" s="525"/>
      <c r="E25" s="208"/>
      <c r="F25" s="523">
        <v>0</v>
      </c>
    </row>
    <row r="26" spans="1:6" ht="14.25" customHeight="1">
      <c r="A26" s="524"/>
      <c r="B26" s="521" t="s">
        <v>788</v>
      </c>
      <c r="C26" s="524"/>
      <c r="D26" s="525"/>
      <c r="E26" s="524"/>
      <c r="F26" s="523">
        <v>0</v>
      </c>
    </row>
    <row r="27" spans="1:6" s="209" customFormat="1" ht="18.75" customHeight="1">
      <c r="A27" s="574" t="s">
        <v>791</v>
      </c>
      <c r="B27" s="574"/>
      <c r="C27" s="574"/>
      <c r="D27" s="574"/>
      <c r="E27" s="574"/>
      <c r="F27" s="574"/>
    </row>
    <row r="28" spans="1:6" ht="14.25" customHeight="1">
      <c r="A28" s="525">
        <v>1</v>
      </c>
      <c r="B28" s="525"/>
      <c r="C28" s="524"/>
      <c r="D28" s="525"/>
      <c r="E28" s="208"/>
      <c r="F28" s="523">
        <v>0</v>
      </c>
    </row>
    <row r="29" spans="1:6" ht="14.25">
      <c r="A29" s="524"/>
      <c r="B29" s="521" t="s">
        <v>788</v>
      </c>
      <c r="C29" s="524"/>
      <c r="D29" s="525"/>
      <c r="E29" s="524"/>
      <c r="F29" s="523">
        <v>0</v>
      </c>
    </row>
  </sheetData>
  <sheetProtection/>
  <mergeCells count="8">
    <mergeCell ref="A24:F24"/>
    <mergeCell ref="A27:F27"/>
    <mergeCell ref="D1:F1"/>
    <mergeCell ref="D2:F2"/>
    <mergeCell ref="D3:F3"/>
    <mergeCell ref="A5:F5"/>
    <mergeCell ref="A6:F6"/>
    <mergeCell ref="A9:F9"/>
  </mergeCells>
  <printOptions/>
  <pageMargins left="0.3937007874015748" right="0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140625" style="201" customWidth="1"/>
    <col min="2" max="2" width="13.28125" style="199" customWidth="1"/>
    <col min="3" max="3" width="20.57421875" style="201" customWidth="1"/>
    <col min="4" max="4" width="8.8515625" style="201" customWidth="1"/>
    <col min="5" max="5" width="34.28125" style="202" customWidth="1"/>
    <col min="6" max="16384" width="9.140625" style="199" customWidth="1"/>
  </cols>
  <sheetData>
    <row r="1" ht="14.25" customHeight="1">
      <c r="E1" s="329" t="s">
        <v>973</v>
      </c>
    </row>
    <row r="2" ht="15" customHeight="1">
      <c r="E2" s="329" t="s">
        <v>1196</v>
      </c>
    </row>
    <row r="3" ht="13.5" customHeight="1">
      <c r="E3" s="200" t="s">
        <v>1203</v>
      </c>
    </row>
    <row r="4" ht="12" customHeight="1">
      <c r="E4" s="330"/>
    </row>
    <row r="5" spans="1:5" s="202" customFormat="1" ht="32.25" customHeight="1">
      <c r="A5" s="579" t="s">
        <v>929</v>
      </c>
      <c r="B5" s="579"/>
      <c r="C5" s="579"/>
      <c r="D5" s="579"/>
      <c r="E5" s="579"/>
    </row>
    <row r="6" ht="10.5" customHeight="1"/>
    <row r="7" spans="1:5" s="206" customFormat="1" ht="26.25" customHeight="1">
      <c r="A7" s="331" t="s">
        <v>135</v>
      </c>
      <c r="B7" s="332"/>
      <c r="C7" s="580" t="s">
        <v>214</v>
      </c>
      <c r="D7" s="581"/>
      <c r="E7" s="582"/>
    </row>
    <row r="8" spans="1:5" s="206" customFormat="1" ht="38.25">
      <c r="A8" s="373">
        <v>703</v>
      </c>
      <c r="B8" s="374" t="s">
        <v>930</v>
      </c>
      <c r="C8" s="375" t="s">
        <v>931</v>
      </c>
      <c r="D8" s="374">
        <v>710</v>
      </c>
      <c r="E8" s="376" t="s">
        <v>932</v>
      </c>
    </row>
    <row r="9" spans="1:5" s="333" customFormat="1" ht="47.25" customHeight="1">
      <c r="A9" s="373">
        <v>703</v>
      </c>
      <c r="B9" s="374" t="s">
        <v>930</v>
      </c>
      <c r="C9" s="375" t="s">
        <v>931</v>
      </c>
      <c r="D9" s="374">
        <v>810</v>
      </c>
      <c r="E9" s="376" t="s">
        <v>933</v>
      </c>
    </row>
    <row r="10" spans="1:5" s="334" customFormat="1" ht="42.75" customHeight="1">
      <c r="A10" s="373">
        <v>703</v>
      </c>
      <c r="B10" s="373" t="s">
        <v>934</v>
      </c>
      <c r="C10" s="375" t="s">
        <v>931</v>
      </c>
      <c r="D10" s="374">
        <v>710</v>
      </c>
      <c r="E10" s="376" t="s">
        <v>935</v>
      </c>
    </row>
    <row r="11" spans="1:5" s="334" customFormat="1" ht="53.25" customHeight="1">
      <c r="A11" s="373">
        <v>703</v>
      </c>
      <c r="B11" s="373" t="s">
        <v>934</v>
      </c>
      <c r="C11" s="375" t="s">
        <v>931</v>
      </c>
      <c r="D11" s="374">
        <v>810</v>
      </c>
      <c r="E11" s="376" t="s">
        <v>936</v>
      </c>
    </row>
    <row r="12" spans="1:5" s="336" customFormat="1" ht="29.25" customHeight="1">
      <c r="A12" s="335">
        <v>750</v>
      </c>
      <c r="B12" s="583" t="s">
        <v>937</v>
      </c>
      <c r="C12" s="583"/>
      <c r="D12" s="583"/>
      <c r="E12" s="583"/>
    </row>
    <row r="13" spans="1:5" s="336" customFormat="1" ht="40.5" customHeight="1">
      <c r="A13" s="373">
        <v>750</v>
      </c>
      <c r="B13" s="373" t="s">
        <v>938</v>
      </c>
      <c r="C13" s="373">
        <v>1000</v>
      </c>
      <c r="D13" s="373">
        <v>510</v>
      </c>
      <c r="E13" s="377" t="s">
        <v>793</v>
      </c>
    </row>
    <row r="14" spans="1:5" s="336" customFormat="1" ht="44.25" customHeight="1">
      <c r="A14" s="373">
        <v>750</v>
      </c>
      <c r="B14" s="373" t="s">
        <v>938</v>
      </c>
      <c r="C14" s="373">
        <v>1000</v>
      </c>
      <c r="D14" s="373">
        <v>610</v>
      </c>
      <c r="E14" s="377" t="s">
        <v>794</v>
      </c>
    </row>
    <row r="15" spans="1:5" ht="38.25">
      <c r="A15" s="373">
        <v>750</v>
      </c>
      <c r="B15" s="373" t="s">
        <v>939</v>
      </c>
      <c r="C15" s="373">
        <v>1000</v>
      </c>
      <c r="D15" s="373">
        <v>640</v>
      </c>
      <c r="E15" s="377" t="s">
        <v>940</v>
      </c>
    </row>
    <row r="16" spans="1:5" ht="45.75" customHeight="1">
      <c r="A16" s="373">
        <v>750</v>
      </c>
      <c r="B16" s="373" t="s">
        <v>941</v>
      </c>
      <c r="C16" s="373">
        <v>1000</v>
      </c>
      <c r="D16" s="373">
        <v>540</v>
      </c>
      <c r="E16" s="377" t="s">
        <v>795</v>
      </c>
    </row>
    <row r="17" spans="1:5" ht="51">
      <c r="A17" s="373">
        <v>750</v>
      </c>
      <c r="B17" s="373" t="s">
        <v>941</v>
      </c>
      <c r="C17" s="373">
        <v>1000</v>
      </c>
      <c r="D17" s="373">
        <v>640</v>
      </c>
      <c r="E17" s="377" t="s">
        <v>796</v>
      </c>
    </row>
    <row r="18" spans="1:5" ht="107.25" customHeight="1">
      <c r="A18" s="373">
        <v>750</v>
      </c>
      <c r="B18" s="373" t="s">
        <v>942</v>
      </c>
      <c r="C18" s="377" t="s">
        <v>1195</v>
      </c>
      <c r="D18" s="373">
        <v>640</v>
      </c>
      <c r="E18" s="377" t="s">
        <v>943</v>
      </c>
    </row>
    <row r="19" spans="1:5" ht="29.25" customHeight="1">
      <c r="A19" s="335">
        <v>163</v>
      </c>
      <c r="B19" s="584" t="s">
        <v>183</v>
      </c>
      <c r="C19" s="585"/>
      <c r="D19" s="585"/>
      <c r="E19" s="586"/>
    </row>
    <row r="20" spans="1:5" ht="38.25">
      <c r="A20" s="373">
        <v>163</v>
      </c>
      <c r="B20" s="373" t="s">
        <v>944</v>
      </c>
      <c r="C20" s="378" t="s">
        <v>931</v>
      </c>
      <c r="D20" s="373">
        <v>630</v>
      </c>
      <c r="E20" s="377" t="s">
        <v>945</v>
      </c>
    </row>
  </sheetData>
  <sheetProtection/>
  <mergeCells count="4">
    <mergeCell ref="A5:E5"/>
    <mergeCell ref="C7:E7"/>
    <mergeCell ref="B12:E12"/>
    <mergeCell ref="B19:E1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28125" style="6" customWidth="1"/>
    <col min="2" max="2" width="20.7109375" style="11" customWidth="1"/>
    <col min="3" max="3" width="65.140625" style="87" customWidth="1"/>
    <col min="4" max="4" width="15.421875" style="139" customWidth="1"/>
    <col min="5" max="16384" width="9.140625" style="102" customWidth="1"/>
  </cols>
  <sheetData>
    <row r="1" spans="1:4" ht="12.75">
      <c r="A1" s="379"/>
      <c r="B1" s="96"/>
      <c r="C1" s="575" t="s">
        <v>974</v>
      </c>
      <c r="D1" s="575"/>
    </row>
    <row r="2" spans="1:4" ht="12.75">
      <c r="A2" s="379"/>
      <c r="B2" s="96"/>
      <c r="C2" s="575" t="s">
        <v>408</v>
      </c>
      <c r="D2" s="575"/>
    </row>
    <row r="3" spans="1:4" s="103" customFormat="1" ht="12.75">
      <c r="A3" s="587" t="s">
        <v>1204</v>
      </c>
      <c r="B3" s="587"/>
      <c r="C3" s="587"/>
      <c r="D3" s="587"/>
    </row>
    <row r="4" spans="1:4" ht="15.75">
      <c r="A4" s="588" t="s">
        <v>409</v>
      </c>
      <c r="B4" s="588"/>
      <c r="C4" s="588"/>
      <c r="D4" s="588"/>
    </row>
    <row r="5" spans="1:4" ht="12.75">
      <c r="A5" s="101"/>
      <c r="B5" s="589"/>
      <c r="C5" s="589"/>
      <c r="D5" s="589"/>
    </row>
    <row r="6" spans="1:4" ht="22.5">
      <c r="A6" s="7" t="s">
        <v>410</v>
      </c>
      <c r="B6" s="104"/>
      <c r="C6" s="105" t="s">
        <v>411</v>
      </c>
      <c r="D6" s="106" t="s">
        <v>412</v>
      </c>
    </row>
    <row r="7" spans="1:4" ht="12.75">
      <c r="A7" s="107" t="s">
        <v>413</v>
      </c>
      <c r="B7" s="108" t="s">
        <v>414</v>
      </c>
      <c r="C7" s="109" t="s">
        <v>415</v>
      </c>
      <c r="D7" s="191">
        <f>SUM(D8+D14+D20+D24+D31+D44+D51+D58+D67+D29+D86)</f>
        <v>607006.111</v>
      </c>
    </row>
    <row r="8" spans="1:4" ht="12.75">
      <c r="A8" s="107" t="s">
        <v>413</v>
      </c>
      <c r="B8" s="108" t="s">
        <v>416</v>
      </c>
      <c r="C8" s="109" t="s">
        <v>417</v>
      </c>
      <c r="D8" s="191">
        <f>D9</f>
        <v>436388.571</v>
      </c>
    </row>
    <row r="9" spans="1:4" ht="12.75">
      <c r="A9" s="110" t="s">
        <v>413</v>
      </c>
      <c r="B9" s="110" t="s">
        <v>418</v>
      </c>
      <c r="C9" s="111" t="s">
        <v>419</v>
      </c>
      <c r="D9" s="192">
        <f>D10+D11+D13+D12</f>
        <v>436388.571</v>
      </c>
    </row>
    <row r="10" spans="1:4" ht="51">
      <c r="A10" s="110" t="s">
        <v>420</v>
      </c>
      <c r="B10" s="110" t="s">
        <v>421</v>
      </c>
      <c r="C10" s="111" t="s">
        <v>422</v>
      </c>
      <c r="D10" s="192">
        <f>425317.984-135.113+437</f>
        <v>425619.871</v>
      </c>
    </row>
    <row r="11" spans="1:4" ht="65.25" customHeight="1">
      <c r="A11" s="110" t="s">
        <v>420</v>
      </c>
      <c r="B11" s="110" t="s">
        <v>423</v>
      </c>
      <c r="C11" s="111" t="s">
        <v>424</v>
      </c>
      <c r="D11" s="192">
        <v>5450.9</v>
      </c>
    </row>
    <row r="12" spans="1:4" ht="38.25">
      <c r="A12" s="110" t="s">
        <v>420</v>
      </c>
      <c r="B12" s="110" t="s">
        <v>425</v>
      </c>
      <c r="C12" s="111" t="s">
        <v>426</v>
      </c>
      <c r="D12" s="192">
        <v>3544.7</v>
      </c>
    </row>
    <row r="13" spans="1:4" ht="53.25" customHeight="1">
      <c r="A13" s="110" t="s">
        <v>420</v>
      </c>
      <c r="B13" s="110" t="s">
        <v>427</v>
      </c>
      <c r="C13" s="111" t="s">
        <v>428</v>
      </c>
      <c r="D13" s="192">
        <v>1773.1</v>
      </c>
    </row>
    <row r="14" spans="1:4" ht="12.75">
      <c r="A14" s="107" t="s">
        <v>413</v>
      </c>
      <c r="B14" s="108" t="s">
        <v>429</v>
      </c>
      <c r="C14" s="112" t="s">
        <v>430</v>
      </c>
      <c r="D14" s="191">
        <f>D18+D15</f>
        <v>25441.9</v>
      </c>
    </row>
    <row r="15" spans="1:4" ht="12.75">
      <c r="A15" s="110" t="s">
        <v>420</v>
      </c>
      <c r="B15" s="110" t="s">
        <v>431</v>
      </c>
      <c r="C15" s="111" t="s">
        <v>432</v>
      </c>
      <c r="D15" s="192">
        <f>D16+D17</f>
        <v>25241.9</v>
      </c>
    </row>
    <row r="16" spans="1:4" ht="12.75">
      <c r="A16" s="110" t="s">
        <v>420</v>
      </c>
      <c r="B16" s="110" t="s">
        <v>433</v>
      </c>
      <c r="C16" s="111" t="s">
        <v>432</v>
      </c>
      <c r="D16" s="192">
        <v>25161.9</v>
      </c>
    </row>
    <row r="17" spans="1:4" ht="25.5">
      <c r="A17" s="110" t="s">
        <v>420</v>
      </c>
      <c r="B17" s="110" t="s">
        <v>712</v>
      </c>
      <c r="C17" s="111" t="s">
        <v>713</v>
      </c>
      <c r="D17" s="192">
        <v>80</v>
      </c>
    </row>
    <row r="18" spans="1:4" ht="25.5">
      <c r="A18" s="110" t="s">
        <v>420</v>
      </c>
      <c r="B18" s="110" t="s">
        <v>434</v>
      </c>
      <c r="C18" s="111" t="s">
        <v>714</v>
      </c>
      <c r="D18" s="192">
        <f>D19</f>
        <v>200</v>
      </c>
    </row>
    <row r="19" spans="1:4" ht="25.5">
      <c r="A19" s="110" t="s">
        <v>420</v>
      </c>
      <c r="B19" s="110" t="s">
        <v>715</v>
      </c>
      <c r="C19" s="111" t="s">
        <v>716</v>
      </c>
      <c r="D19" s="192">
        <v>200</v>
      </c>
    </row>
    <row r="20" spans="1:4" ht="12.75">
      <c r="A20" s="110" t="s">
        <v>413</v>
      </c>
      <c r="B20" s="108" t="s">
        <v>435</v>
      </c>
      <c r="C20" s="112" t="s">
        <v>436</v>
      </c>
      <c r="D20" s="191">
        <f>D21</f>
        <v>37339</v>
      </c>
    </row>
    <row r="21" spans="1:4" ht="12.75">
      <c r="A21" s="110" t="s">
        <v>420</v>
      </c>
      <c r="B21" s="110" t="s">
        <v>437</v>
      </c>
      <c r="C21" s="111" t="s">
        <v>438</v>
      </c>
      <c r="D21" s="192">
        <f>D22+D23</f>
        <v>37339</v>
      </c>
    </row>
    <row r="22" spans="1:4" ht="12.75">
      <c r="A22" s="110" t="s">
        <v>420</v>
      </c>
      <c r="B22" s="110" t="s">
        <v>439</v>
      </c>
      <c r="C22" s="111" t="s">
        <v>440</v>
      </c>
      <c r="D22" s="192">
        <v>6094.9</v>
      </c>
    </row>
    <row r="23" spans="1:4" ht="12.75">
      <c r="A23" s="110" t="s">
        <v>420</v>
      </c>
      <c r="B23" s="110" t="s">
        <v>441</v>
      </c>
      <c r="C23" s="111" t="s">
        <v>442</v>
      </c>
      <c r="D23" s="192">
        <v>31244.1</v>
      </c>
    </row>
    <row r="24" spans="1:4" ht="12.75">
      <c r="A24" s="107" t="s">
        <v>413</v>
      </c>
      <c r="B24" s="108" t="s">
        <v>443</v>
      </c>
      <c r="C24" s="112" t="s">
        <v>444</v>
      </c>
      <c r="D24" s="191">
        <f>D25+D27</f>
        <v>6894.4</v>
      </c>
    </row>
    <row r="25" spans="1:4" ht="25.5">
      <c r="A25" s="110" t="s">
        <v>420</v>
      </c>
      <c r="B25" s="110" t="s">
        <v>445</v>
      </c>
      <c r="C25" s="111" t="s">
        <v>446</v>
      </c>
      <c r="D25" s="192">
        <f>D26</f>
        <v>6888.4</v>
      </c>
    </row>
    <row r="26" spans="1:4" ht="26.25" customHeight="1">
      <c r="A26" s="110" t="s">
        <v>420</v>
      </c>
      <c r="B26" s="110" t="s">
        <v>447</v>
      </c>
      <c r="C26" s="113" t="s">
        <v>448</v>
      </c>
      <c r="D26" s="192">
        <v>6888.4</v>
      </c>
    </row>
    <row r="27" spans="1:4" ht="25.5">
      <c r="A27" s="110" t="s">
        <v>133</v>
      </c>
      <c r="B27" s="110" t="s">
        <v>449</v>
      </c>
      <c r="C27" s="111" t="s">
        <v>450</v>
      </c>
      <c r="D27" s="192">
        <f>D28</f>
        <v>6</v>
      </c>
    </row>
    <row r="28" spans="1:4" ht="25.5">
      <c r="A28" s="110" t="s">
        <v>133</v>
      </c>
      <c r="B28" s="110" t="s">
        <v>451</v>
      </c>
      <c r="C28" s="111" t="s">
        <v>452</v>
      </c>
      <c r="D28" s="192">
        <v>6</v>
      </c>
    </row>
    <row r="29" spans="1:4" ht="25.5">
      <c r="A29" s="107" t="s">
        <v>413</v>
      </c>
      <c r="B29" s="47" t="s">
        <v>717</v>
      </c>
      <c r="C29" s="112" t="s">
        <v>718</v>
      </c>
      <c r="D29" s="193">
        <f>'[1]апр 2013'!F27</f>
        <v>5.4</v>
      </c>
    </row>
    <row r="30" spans="1:4" ht="51">
      <c r="A30" s="110" t="s">
        <v>413</v>
      </c>
      <c r="B30" s="49" t="s">
        <v>719</v>
      </c>
      <c r="C30" s="115" t="s">
        <v>720</v>
      </c>
      <c r="D30" s="195">
        <v>5.4</v>
      </c>
    </row>
    <row r="31" spans="1:4" ht="25.5">
      <c r="A31" s="107" t="s">
        <v>413</v>
      </c>
      <c r="B31" s="108" t="s">
        <v>453</v>
      </c>
      <c r="C31" s="112" t="s">
        <v>454</v>
      </c>
      <c r="D31" s="191">
        <f>D34+D41</f>
        <v>32763.9</v>
      </c>
    </row>
    <row r="32" spans="1:4" ht="25.5" hidden="1">
      <c r="A32" s="110" t="s">
        <v>133</v>
      </c>
      <c r="B32" s="110" t="s">
        <v>721</v>
      </c>
      <c r="C32" s="111" t="s">
        <v>722</v>
      </c>
      <c r="D32" s="192">
        <v>0</v>
      </c>
    </row>
    <row r="33" spans="1:4" ht="25.5" hidden="1">
      <c r="A33" s="110" t="s">
        <v>133</v>
      </c>
      <c r="B33" s="110" t="s">
        <v>723</v>
      </c>
      <c r="C33" s="111" t="s">
        <v>724</v>
      </c>
      <c r="D33" s="192">
        <v>0</v>
      </c>
    </row>
    <row r="34" spans="1:4" ht="63.75">
      <c r="A34" s="110" t="s">
        <v>133</v>
      </c>
      <c r="B34" s="110" t="s">
        <v>455</v>
      </c>
      <c r="C34" s="111" t="s">
        <v>456</v>
      </c>
      <c r="D34" s="192">
        <f>D35+D37+D39</f>
        <v>32275</v>
      </c>
    </row>
    <row r="35" spans="1:4" ht="51">
      <c r="A35" s="110" t="s">
        <v>133</v>
      </c>
      <c r="B35" s="110" t="s">
        <v>457</v>
      </c>
      <c r="C35" s="111" t="s">
        <v>458</v>
      </c>
      <c r="D35" s="192">
        <f>D36</f>
        <v>28268</v>
      </c>
    </row>
    <row r="36" spans="1:4" ht="51">
      <c r="A36" s="110" t="s">
        <v>133</v>
      </c>
      <c r="B36" s="110" t="s">
        <v>459</v>
      </c>
      <c r="C36" s="111" t="s">
        <v>460</v>
      </c>
      <c r="D36" s="192">
        <v>28268</v>
      </c>
    </row>
    <row r="37" spans="1:4" ht="51">
      <c r="A37" s="110" t="s">
        <v>133</v>
      </c>
      <c r="B37" s="110" t="s">
        <v>461</v>
      </c>
      <c r="C37" s="111" t="s">
        <v>462</v>
      </c>
      <c r="D37" s="192">
        <f>D38</f>
        <v>7</v>
      </c>
    </row>
    <row r="38" spans="1:4" ht="51">
      <c r="A38" s="110" t="s">
        <v>133</v>
      </c>
      <c r="B38" s="110" t="s">
        <v>463</v>
      </c>
      <c r="C38" s="111" t="s">
        <v>464</v>
      </c>
      <c r="D38" s="192">
        <v>7</v>
      </c>
    </row>
    <row r="39" spans="1:4" ht="63.75">
      <c r="A39" s="110" t="s">
        <v>133</v>
      </c>
      <c r="B39" s="110" t="s">
        <v>465</v>
      </c>
      <c r="C39" s="111" t="s">
        <v>466</v>
      </c>
      <c r="D39" s="192">
        <f>D40</f>
        <v>4000</v>
      </c>
    </row>
    <row r="40" spans="1:4" ht="51">
      <c r="A40" s="110" t="s">
        <v>133</v>
      </c>
      <c r="B40" s="110" t="s">
        <v>467</v>
      </c>
      <c r="C40" s="111" t="s">
        <v>468</v>
      </c>
      <c r="D40" s="192">
        <v>4000</v>
      </c>
    </row>
    <row r="41" spans="1:4" ht="12.75">
      <c r="A41" s="110" t="s">
        <v>133</v>
      </c>
      <c r="B41" s="110" t="s">
        <v>469</v>
      </c>
      <c r="C41" s="111" t="s">
        <v>470</v>
      </c>
      <c r="D41" s="192">
        <f>D42</f>
        <v>488.9</v>
      </c>
    </row>
    <row r="42" spans="1:4" ht="27.75" customHeight="1">
      <c r="A42" s="110" t="s">
        <v>133</v>
      </c>
      <c r="B42" s="110" t="s">
        <v>471</v>
      </c>
      <c r="C42" s="111" t="s">
        <v>472</v>
      </c>
      <c r="D42" s="192">
        <f>D43</f>
        <v>488.9</v>
      </c>
    </row>
    <row r="43" spans="1:4" ht="38.25">
      <c r="A43" s="110" t="s">
        <v>133</v>
      </c>
      <c r="B43" s="110" t="s">
        <v>473</v>
      </c>
      <c r="C43" s="111" t="s">
        <v>474</v>
      </c>
      <c r="D43" s="192">
        <v>488.9</v>
      </c>
    </row>
    <row r="44" spans="1:4" ht="12.75">
      <c r="A44" s="107" t="s">
        <v>413</v>
      </c>
      <c r="B44" s="108" t="s">
        <v>475</v>
      </c>
      <c r="C44" s="112" t="s">
        <v>476</v>
      </c>
      <c r="D44" s="191">
        <f>D45</f>
        <v>19239</v>
      </c>
    </row>
    <row r="45" spans="1:4" ht="12.75">
      <c r="A45" s="110" t="s">
        <v>413</v>
      </c>
      <c r="B45" s="110" t="s">
        <v>477</v>
      </c>
      <c r="C45" s="111" t="s">
        <v>478</v>
      </c>
      <c r="D45" s="192">
        <f>D46+D47+D48+D49+D50</f>
        <v>19239</v>
      </c>
    </row>
    <row r="46" spans="1:4" ht="25.5">
      <c r="A46" s="110" t="s">
        <v>413</v>
      </c>
      <c r="B46" s="110" t="s">
        <v>479</v>
      </c>
      <c r="C46" s="111" t="s">
        <v>480</v>
      </c>
      <c r="D46" s="192">
        <v>1731.5</v>
      </c>
    </row>
    <row r="47" spans="1:4" ht="25.5">
      <c r="A47" s="110" t="s">
        <v>413</v>
      </c>
      <c r="B47" s="110" t="s">
        <v>481</v>
      </c>
      <c r="C47" s="111" t="s">
        <v>482</v>
      </c>
      <c r="D47" s="192">
        <v>134.7</v>
      </c>
    </row>
    <row r="48" spans="1:4" ht="12.75">
      <c r="A48" s="110" t="s">
        <v>413</v>
      </c>
      <c r="B48" s="110" t="s">
        <v>483</v>
      </c>
      <c r="C48" s="111" t="s">
        <v>484</v>
      </c>
      <c r="D48" s="192">
        <v>5771.7</v>
      </c>
    </row>
    <row r="49" spans="1:4" ht="12.75">
      <c r="A49" s="110" t="s">
        <v>413</v>
      </c>
      <c r="B49" s="110" t="s">
        <v>485</v>
      </c>
      <c r="C49" s="111" t="s">
        <v>486</v>
      </c>
      <c r="D49" s="192">
        <v>11543.4</v>
      </c>
    </row>
    <row r="50" spans="1:4" ht="12.75">
      <c r="A50" s="110" t="s">
        <v>487</v>
      </c>
      <c r="B50" s="110" t="s">
        <v>488</v>
      </c>
      <c r="C50" s="111" t="s">
        <v>489</v>
      </c>
      <c r="D50" s="192">
        <v>57.7</v>
      </c>
    </row>
    <row r="51" spans="1:4" ht="25.5">
      <c r="A51" s="107" t="s">
        <v>413</v>
      </c>
      <c r="B51" s="114" t="s">
        <v>490</v>
      </c>
      <c r="C51" s="112" t="s">
        <v>491</v>
      </c>
      <c r="D51" s="191">
        <f>SUM(D55+D52)</f>
        <v>784.2</v>
      </c>
    </row>
    <row r="52" spans="1:4" ht="12.75">
      <c r="A52" s="110" t="s">
        <v>413</v>
      </c>
      <c r="B52" s="110" t="s">
        <v>492</v>
      </c>
      <c r="C52" s="111" t="s">
        <v>493</v>
      </c>
      <c r="D52" s="192">
        <v>250</v>
      </c>
    </row>
    <row r="53" spans="1:4" ht="12.75">
      <c r="A53" s="110" t="s">
        <v>413</v>
      </c>
      <c r="B53" s="110" t="s">
        <v>494</v>
      </c>
      <c r="C53" s="111" t="s">
        <v>495</v>
      </c>
      <c r="D53" s="192">
        <v>250</v>
      </c>
    </row>
    <row r="54" spans="1:4" ht="25.5">
      <c r="A54" s="110" t="s">
        <v>413</v>
      </c>
      <c r="B54" s="110" t="s">
        <v>496</v>
      </c>
      <c r="C54" s="111" t="s">
        <v>497</v>
      </c>
      <c r="D54" s="192">
        <v>250</v>
      </c>
    </row>
    <row r="55" spans="1:4" ht="12.75">
      <c r="A55" s="110" t="s">
        <v>413</v>
      </c>
      <c r="B55" s="110" t="s">
        <v>498</v>
      </c>
      <c r="C55" s="111" t="s">
        <v>499</v>
      </c>
      <c r="D55" s="192">
        <f>D56</f>
        <v>534.2</v>
      </c>
    </row>
    <row r="56" spans="1:4" ht="12.75">
      <c r="A56" s="110" t="s">
        <v>413</v>
      </c>
      <c r="B56" s="110" t="s">
        <v>500</v>
      </c>
      <c r="C56" s="111" t="s">
        <v>501</v>
      </c>
      <c r="D56" s="192">
        <f>D57</f>
        <v>534.2</v>
      </c>
    </row>
    <row r="57" spans="1:4" ht="12.75">
      <c r="A57" s="110" t="s">
        <v>413</v>
      </c>
      <c r="B57" s="110" t="s">
        <v>502</v>
      </c>
      <c r="C57" s="111" t="s">
        <v>503</v>
      </c>
      <c r="D57" s="192">
        <v>534.2</v>
      </c>
    </row>
    <row r="58" spans="1:4" ht="25.5">
      <c r="A58" s="107" t="s">
        <v>133</v>
      </c>
      <c r="B58" s="108" t="s">
        <v>504</v>
      </c>
      <c r="C58" s="112" t="s">
        <v>505</v>
      </c>
      <c r="D58" s="191">
        <f>D59+D64</f>
        <v>40044.85</v>
      </c>
    </row>
    <row r="59" spans="1:4" ht="51">
      <c r="A59" s="110" t="s">
        <v>133</v>
      </c>
      <c r="B59" s="110" t="s">
        <v>506</v>
      </c>
      <c r="C59" s="111" t="s">
        <v>507</v>
      </c>
      <c r="D59" s="192">
        <f>D60</f>
        <v>24144.85</v>
      </c>
    </row>
    <row r="60" spans="1:4" ht="63.75">
      <c r="A60" s="110" t="s">
        <v>133</v>
      </c>
      <c r="B60" s="110" t="s">
        <v>725</v>
      </c>
      <c r="C60" s="111" t="s">
        <v>509</v>
      </c>
      <c r="D60" s="192">
        <f>D61</f>
        <v>24144.85</v>
      </c>
    </row>
    <row r="61" spans="1:4" ht="63.75">
      <c r="A61" s="110" t="s">
        <v>133</v>
      </c>
      <c r="B61" s="110" t="s">
        <v>508</v>
      </c>
      <c r="C61" s="111" t="s">
        <v>509</v>
      </c>
      <c r="D61" s="192">
        <f>23644.85+500</f>
        <v>24144.85</v>
      </c>
    </row>
    <row r="62" spans="1:4" ht="63.75" hidden="1">
      <c r="A62" s="110" t="s">
        <v>133</v>
      </c>
      <c r="B62" s="110" t="s">
        <v>726</v>
      </c>
      <c r="C62" s="111" t="s">
        <v>727</v>
      </c>
      <c r="D62" s="192">
        <v>0</v>
      </c>
    </row>
    <row r="63" spans="1:4" ht="63.75" hidden="1">
      <c r="A63" s="110" t="s">
        <v>133</v>
      </c>
      <c r="B63" s="110" t="s">
        <v>728</v>
      </c>
      <c r="C63" s="111" t="s">
        <v>727</v>
      </c>
      <c r="D63" s="192">
        <v>0</v>
      </c>
    </row>
    <row r="64" spans="1:4" ht="38.25">
      <c r="A64" s="110" t="s">
        <v>133</v>
      </c>
      <c r="B64" s="110" t="s">
        <v>510</v>
      </c>
      <c r="C64" s="113" t="s">
        <v>511</v>
      </c>
      <c r="D64" s="192">
        <f>D65</f>
        <v>15900</v>
      </c>
    </row>
    <row r="65" spans="1:4" ht="25.5">
      <c r="A65" s="110" t="s">
        <v>133</v>
      </c>
      <c r="B65" s="110" t="s">
        <v>512</v>
      </c>
      <c r="C65" s="113" t="s">
        <v>513</v>
      </c>
      <c r="D65" s="192">
        <f>D66</f>
        <v>15900</v>
      </c>
    </row>
    <row r="66" spans="1:4" ht="25.5">
      <c r="A66" s="110" t="s">
        <v>133</v>
      </c>
      <c r="B66" s="110" t="s">
        <v>514</v>
      </c>
      <c r="C66" s="111" t="s">
        <v>515</v>
      </c>
      <c r="D66" s="192">
        <v>15900</v>
      </c>
    </row>
    <row r="67" spans="1:4" ht="12.75">
      <c r="A67" s="107" t="s">
        <v>413</v>
      </c>
      <c r="B67" s="108" t="s">
        <v>516</v>
      </c>
      <c r="C67" s="112" t="s">
        <v>517</v>
      </c>
      <c r="D67" s="191">
        <f>SUM(D68+D71+D72+D73+D75+D77+D81+D82+D83+D84)</f>
        <v>8097.014999999999</v>
      </c>
    </row>
    <row r="68" spans="1:4" ht="25.5">
      <c r="A68" s="110" t="s">
        <v>413</v>
      </c>
      <c r="B68" s="110" t="s">
        <v>518</v>
      </c>
      <c r="C68" s="111" t="s">
        <v>519</v>
      </c>
      <c r="D68" s="192">
        <f>D69+D70</f>
        <v>265.3</v>
      </c>
    </row>
    <row r="69" spans="1:4" ht="66" customHeight="1">
      <c r="A69" s="110" t="s">
        <v>413</v>
      </c>
      <c r="B69" s="110" t="s">
        <v>520</v>
      </c>
      <c r="C69" s="111" t="s">
        <v>521</v>
      </c>
      <c r="D69" s="192">
        <v>241</v>
      </c>
    </row>
    <row r="70" spans="1:4" ht="38.25">
      <c r="A70" s="110" t="s">
        <v>413</v>
      </c>
      <c r="B70" s="110" t="s">
        <v>522</v>
      </c>
      <c r="C70" s="111" t="s">
        <v>523</v>
      </c>
      <c r="D70" s="192">
        <v>24.3</v>
      </c>
    </row>
    <row r="71" spans="1:4" ht="38.25">
      <c r="A71" s="110" t="s">
        <v>413</v>
      </c>
      <c r="B71" s="110" t="s">
        <v>524</v>
      </c>
      <c r="C71" s="111" t="s">
        <v>525</v>
      </c>
      <c r="D71" s="192">
        <v>150</v>
      </c>
    </row>
    <row r="72" spans="1:4" ht="38.25">
      <c r="A72" s="110" t="s">
        <v>413</v>
      </c>
      <c r="B72" s="110" t="s">
        <v>729</v>
      </c>
      <c r="C72" s="111" t="s">
        <v>730</v>
      </c>
      <c r="D72" s="192">
        <v>142.3</v>
      </c>
    </row>
    <row r="73" spans="1:4" ht="25.5">
      <c r="A73" s="110" t="s">
        <v>413</v>
      </c>
      <c r="B73" s="110" t="s">
        <v>526</v>
      </c>
      <c r="C73" s="111" t="s">
        <v>527</v>
      </c>
      <c r="D73" s="192">
        <f>SUM(D74)</f>
        <v>4.015</v>
      </c>
    </row>
    <row r="74" spans="1:4" ht="25.5">
      <c r="A74" s="110" t="s">
        <v>413</v>
      </c>
      <c r="B74" s="110" t="s">
        <v>528</v>
      </c>
      <c r="C74" s="111" t="s">
        <v>529</v>
      </c>
      <c r="D74" s="192">
        <v>4.015</v>
      </c>
    </row>
    <row r="75" spans="1:4" ht="25.5">
      <c r="A75" s="110" t="s">
        <v>413</v>
      </c>
      <c r="B75" s="110" t="s">
        <v>530</v>
      </c>
      <c r="C75" s="111" t="s">
        <v>531</v>
      </c>
      <c r="D75" s="192">
        <f>D76</f>
        <v>635</v>
      </c>
    </row>
    <row r="76" spans="1:4" ht="38.25">
      <c r="A76" s="110" t="s">
        <v>413</v>
      </c>
      <c r="B76" s="110" t="s">
        <v>532</v>
      </c>
      <c r="C76" s="111" t="s">
        <v>533</v>
      </c>
      <c r="D76" s="192">
        <v>635</v>
      </c>
    </row>
    <row r="77" spans="1:4" ht="63.75">
      <c r="A77" s="110" t="s">
        <v>413</v>
      </c>
      <c r="B77" s="110" t="s">
        <v>534</v>
      </c>
      <c r="C77" s="111" t="s">
        <v>535</v>
      </c>
      <c r="D77" s="192">
        <f>D79+D80+D78</f>
        <v>1367</v>
      </c>
    </row>
    <row r="78" spans="1:4" ht="25.5">
      <c r="A78" s="194" t="s">
        <v>413</v>
      </c>
      <c r="B78" s="210" t="s">
        <v>731</v>
      </c>
      <c r="C78" s="49" t="s">
        <v>732</v>
      </c>
      <c r="D78" s="195">
        <f>'[1]апр 2013'!F74</f>
        <v>5</v>
      </c>
    </row>
    <row r="79" spans="1:4" ht="25.5">
      <c r="A79" s="110" t="s">
        <v>413</v>
      </c>
      <c r="B79" s="110" t="s">
        <v>536</v>
      </c>
      <c r="C79" s="111" t="s">
        <v>537</v>
      </c>
      <c r="D79" s="192">
        <v>291</v>
      </c>
    </row>
    <row r="80" spans="1:4" ht="12.75">
      <c r="A80" s="110" t="s">
        <v>413</v>
      </c>
      <c r="B80" s="110" t="s">
        <v>538</v>
      </c>
      <c r="C80" s="111" t="s">
        <v>539</v>
      </c>
      <c r="D80" s="192">
        <v>1071</v>
      </c>
    </row>
    <row r="81" spans="1:4" ht="38.25">
      <c r="A81" s="110" t="s">
        <v>413</v>
      </c>
      <c r="B81" s="110" t="s">
        <v>540</v>
      </c>
      <c r="C81" s="111" t="s">
        <v>541</v>
      </c>
      <c r="D81" s="192">
        <v>79</v>
      </c>
    </row>
    <row r="82" spans="1:4" ht="25.5">
      <c r="A82" s="110" t="s">
        <v>413</v>
      </c>
      <c r="B82" s="110" t="s">
        <v>542</v>
      </c>
      <c r="C82" s="115" t="s">
        <v>543</v>
      </c>
      <c r="D82" s="192">
        <v>6</v>
      </c>
    </row>
    <row r="83" spans="1:4" ht="51">
      <c r="A83" s="110" t="s">
        <v>413</v>
      </c>
      <c r="B83" s="110" t="s">
        <v>544</v>
      </c>
      <c r="C83" s="111" t="s">
        <v>545</v>
      </c>
      <c r="D83" s="192">
        <v>15</v>
      </c>
    </row>
    <row r="84" spans="1:4" ht="25.5">
      <c r="A84" s="110" t="s">
        <v>413</v>
      </c>
      <c r="B84" s="110" t="s">
        <v>546</v>
      </c>
      <c r="C84" s="111" t="s">
        <v>547</v>
      </c>
      <c r="D84" s="192">
        <f>D85</f>
        <v>5433.4</v>
      </c>
    </row>
    <row r="85" spans="1:4" ht="25.5">
      <c r="A85" s="110" t="s">
        <v>413</v>
      </c>
      <c r="B85" s="110" t="s">
        <v>548</v>
      </c>
      <c r="C85" s="111" t="s">
        <v>549</v>
      </c>
      <c r="D85" s="192">
        <v>5433.4</v>
      </c>
    </row>
    <row r="86" spans="1:4" ht="12.75">
      <c r="A86" s="107" t="s">
        <v>413</v>
      </c>
      <c r="B86" s="107" t="s">
        <v>733</v>
      </c>
      <c r="C86" s="112" t="s">
        <v>734</v>
      </c>
      <c r="D86" s="191">
        <f>D87</f>
        <v>7.875</v>
      </c>
    </row>
    <row r="87" spans="1:4" ht="12.75">
      <c r="A87" s="110" t="s">
        <v>413</v>
      </c>
      <c r="B87" s="110" t="s">
        <v>735</v>
      </c>
      <c r="C87" s="111" t="s">
        <v>736</v>
      </c>
      <c r="D87" s="192">
        <f>D88</f>
        <v>7.875</v>
      </c>
    </row>
    <row r="88" spans="1:4" ht="12.75">
      <c r="A88" s="110" t="s">
        <v>413</v>
      </c>
      <c r="B88" s="110" t="s">
        <v>737</v>
      </c>
      <c r="C88" s="111" t="s">
        <v>738</v>
      </c>
      <c r="D88" s="192">
        <v>7.875</v>
      </c>
    </row>
    <row r="89" spans="1:4" ht="12.75">
      <c r="A89" s="37" t="s">
        <v>413</v>
      </c>
      <c r="B89" s="107" t="s">
        <v>550</v>
      </c>
      <c r="C89" s="116" t="s">
        <v>551</v>
      </c>
      <c r="D89" s="163">
        <f>D90+D190+D193+D198</f>
        <v>1989949.189</v>
      </c>
    </row>
    <row r="90" spans="1:4" ht="25.5">
      <c r="A90" s="1" t="s">
        <v>413</v>
      </c>
      <c r="B90" s="16" t="s">
        <v>552</v>
      </c>
      <c r="C90" s="2" t="s">
        <v>553</v>
      </c>
      <c r="D90" s="164">
        <f>D91+D94+D110+D148</f>
        <v>1994901.642</v>
      </c>
    </row>
    <row r="91" spans="1:4" ht="12" customHeight="1">
      <c r="A91" s="1" t="s">
        <v>413</v>
      </c>
      <c r="B91" s="16" t="s">
        <v>554</v>
      </c>
      <c r="C91" s="2" t="s">
        <v>555</v>
      </c>
      <c r="D91" s="164">
        <f>D92</f>
        <v>591958.9</v>
      </c>
    </row>
    <row r="92" spans="1:4" ht="12.75">
      <c r="A92" s="117" t="s">
        <v>413</v>
      </c>
      <c r="B92" s="118" t="s">
        <v>556</v>
      </c>
      <c r="C92" s="119" t="s">
        <v>557</v>
      </c>
      <c r="D92" s="165">
        <f>D93</f>
        <v>591958.9</v>
      </c>
    </row>
    <row r="93" spans="1:4" ht="25.5">
      <c r="A93" s="117" t="s">
        <v>413</v>
      </c>
      <c r="B93" s="118" t="s">
        <v>558</v>
      </c>
      <c r="C93" s="119" t="s">
        <v>559</v>
      </c>
      <c r="D93" s="165">
        <f>590535.6+1423.3</f>
        <v>591958.9</v>
      </c>
    </row>
    <row r="94" spans="1:4" ht="25.5">
      <c r="A94" s="117" t="s">
        <v>413</v>
      </c>
      <c r="B94" s="16" t="s">
        <v>560</v>
      </c>
      <c r="C94" s="119" t="s">
        <v>561</v>
      </c>
      <c r="D94" s="165">
        <f>D95+D97+D100+D103</f>
        <v>347027.408</v>
      </c>
    </row>
    <row r="95" spans="1:4" ht="51">
      <c r="A95" s="117" t="s">
        <v>413</v>
      </c>
      <c r="B95" s="16" t="s">
        <v>562</v>
      </c>
      <c r="C95" s="119" t="s">
        <v>563</v>
      </c>
      <c r="D95" s="165">
        <f>D96</f>
        <v>19307.8</v>
      </c>
    </row>
    <row r="96" spans="1:4" ht="38.25">
      <c r="A96" s="117" t="s">
        <v>413</v>
      </c>
      <c r="B96" s="16" t="s">
        <v>564</v>
      </c>
      <c r="C96" s="119" t="s">
        <v>565</v>
      </c>
      <c r="D96" s="165">
        <f>21082.8-5000+3225</f>
        <v>19307.8</v>
      </c>
    </row>
    <row r="97" spans="1:4" ht="63.75">
      <c r="A97" s="117" t="s">
        <v>413</v>
      </c>
      <c r="B97" s="16" t="s">
        <v>829</v>
      </c>
      <c r="C97" s="119" t="s">
        <v>689</v>
      </c>
      <c r="D97" s="165">
        <f>D98</f>
        <v>21581.358</v>
      </c>
    </row>
    <row r="98" spans="1:4" ht="51">
      <c r="A98" s="117" t="s">
        <v>413</v>
      </c>
      <c r="B98" s="16" t="s">
        <v>687</v>
      </c>
      <c r="C98" s="119" t="s">
        <v>690</v>
      </c>
      <c r="D98" s="165">
        <f>D99</f>
        <v>21581.358</v>
      </c>
    </row>
    <row r="99" spans="1:4" ht="51">
      <c r="A99" s="117" t="s">
        <v>413</v>
      </c>
      <c r="B99" s="16" t="s">
        <v>688</v>
      </c>
      <c r="C99" s="119" t="s">
        <v>691</v>
      </c>
      <c r="D99" s="165">
        <v>21581.358</v>
      </c>
    </row>
    <row r="100" spans="1:4" ht="51">
      <c r="A100" s="117" t="s">
        <v>413</v>
      </c>
      <c r="B100" s="16" t="s">
        <v>1073</v>
      </c>
      <c r="C100" s="119" t="s">
        <v>1074</v>
      </c>
      <c r="D100" s="165">
        <f>D101</f>
        <v>74</v>
      </c>
    </row>
    <row r="101" spans="1:4" ht="38.25">
      <c r="A101" s="117" t="s">
        <v>413</v>
      </c>
      <c r="B101" s="16" t="s">
        <v>1075</v>
      </c>
      <c r="C101" s="119" t="s">
        <v>1076</v>
      </c>
      <c r="D101" s="165">
        <f>D102</f>
        <v>74</v>
      </c>
    </row>
    <row r="102" spans="1:4" ht="25.5">
      <c r="A102" s="117" t="s">
        <v>413</v>
      </c>
      <c r="B102" s="16" t="s">
        <v>1077</v>
      </c>
      <c r="C102" s="119" t="s">
        <v>1078</v>
      </c>
      <c r="D102" s="165">
        <v>74</v>
      </c>
    </row>
    <row r="103" spans="1:4" ht="12.75">
      <c r="A103" s="117" t="s">
        <v>413</v>
      </c>
      <c r="B103" s="16" t="s">
        <v>566</v>
      </c>
      <c r="C103" s="119" t="s">
        <v>567</v>
      </c>
      <c r="D103" s="165">
        <f>D104</f>
        <v>306064.25</v>
      </c>
    </row>
    <row r="104" spans="1:4" ht="12.75">
      <c r="A104" s="117" t="s">
        <v>413</v>
      </c>
      <c r="B104" s="16" t="s">
        <v>568</v>
      </c>
      <c r="C104" s="119" t="s">
        <v>569</v>
      </c>
      <c r="D104" s="165">
        <f>D105+D109</f>
        <v>306064.25</v>
      </c>
    </row>
    <row r="105" spans="1:4" ht="38.25">
      <c r="A105" s="117"/>
      <c r="B105" s="16"/>
      <c r="C105" s="2" t="s">
        <v>570</v>
      </c>
      <c r="D105" s="165">
        <f>D106+D107+D108</f>
        <v>305128.25</v>
      </c>
    </row>
    <row r="106" spans="1:4" s="123" customFormat="1" ht="12">
      <c r="A106" s="120"/>
      <c r="B106" s="121"/>
      <c r="C106" s="122" t="s">
        <v>571</v>
      </c>
      <c r="D106" s="166">
        <f>35135.6+10781.9+21096.8+9960.6-3225-74</f>
        <v>73675.90000000001</v>
      </c>
    </row>
    <row r="107" spans="1:4" s="123" customFormat="1" ht="12">
      <c r="A107" s="120"/>
      <c r="B107" s="121"/>
      <c r="C107" s="122" t="s">
        <v>572</v>
      </c>
      <c r="D107" s="166">
        <v>112018.4</v>
      </c>
    </row>
    <row r="108" spans="1:4" s="123" customFormat="1" ht="12">
      <c r="A108" s="120"/>
      <c r="B108" s="121"/>
      <c r="C108" s="122" t="s">
        <v>573</v>
      </c>
      <c r="D108" s="166">
        <f>119433.95</f>
        <v>119433.95</v>
      </c>
    </row>
    <row r="109" spans="1:4" ht="25.5">
      <c r="A109" s="117"/>
      <c r="B109" s="16"/>
      <c r="C109" s="119" t="s">
        <v>574</v>
      </c>
      <c r="D109" s="165">
        <v>936</v>
      </c>
    </row>
    <row r="110" spans="1:4" ht="25.5">
      <c r="A110" s="117" t="s">
        <v>413</v>
      </c>
      <c r="B110" s="16" t="s">
        <v>575</v>
      </c>
      <c r="C110" s="2" t="s">
        <v>576</v>
      </c>
      <c r="D110" s="167">
        <f>D111+D113+D115+D138+D140+D142+D144+D146</f>
        <v>845463.4249999999</v>
      </c>
    </row>
    <row r="111" spans="1:4" ht="25.5">
      <c r="A111" s="117" t="s">
        <v>413</v>
      </c>
      <c r="B111" s="16" t="s">
        <v>577</v>
      </c>
      <c r="C111" s="2" t="s">
        <v>578</v>
      </c>
      <c r="D111" s="167">
        <f>D112</f>
        <v>3293.6</v>
      </c>
    </row>
    <row r="112" spans="1:4" ht="25.5">
      <c r="A112" s="117" t="s">
        <v>413</v>
      </c>
      <c r="B112" s="16" t="s">
        <v>579</v>
      </c>
      <c r="C112" s="2" t="s">
        <v>580</v>
      </c>
      <c r="D112" s="167">
        <v>3293.6</v>
      </c>
    </row>
    <row r="113" spans="1:4" ht="25.5">
      <c r="A113" s="9" t="s">
        <v>413</v>
      </c>
      <c r="B113" s="124" t="s">
        <v>581</v>
      </c>
      <c r="C113" s="2" t="s">
        <v>582</v>
      </c>
      <c r="D113" s="167">
        <f>D114</f>
        <v>9486.5</v>
      </c>
    </row>
    <row r="114" spans="1:4" ht="25.5">
      <c r="A114" s="9" t="s">
        <v>413</v>
      </c>
      <c r="B114" s="124" t="s">
        <v>583</v>
      </c>
      <c r="C114" s="2" t="s">
        <v>584</v>
      </c>
      <c r="D114" s="167">
        <f>13421.8-3935.3</f>
        <v>9486.5</v>
      </c>
    </row>
    <row r="115" spans="1:4" ht="25.5">
      <c r="A115" s="9" t="s">
        <v>413</v>
      </c>
      <c r="B115" s="124" t="s">
        <v>585</v>
      </c>
      <c r="C115" s="2" t="s">
        <v>586</v>
      </c>
      <c r="D115" s="167">
        <f>D116</f>
        <v>768220.9249999999</v>
      </c>
    </row>
    <row r="116" spans="1:4" ht="25.5">
      <c r="A116" s="9" t="s">
        <v>413</v>
      </c>
      <c r="B116" s="124" t="s">
        <v>587</v>
      </c>
      <c r="C116" s="2" t="s">
        <v>588</v>
      </c>
      <c r="D116" s="164">
        <f>D117+D118+D119+D120+D121+D122+D123+D124+D125+D126+D127+D128+D129+D134+D132+D133+D137</f>
        <v>768220.9249999999</v>
      </c>
    </row>
    <row r="117" spans="1:4" ht="51">
      <c r="A117" s="9"/>
      <c r="B117" s="124"/>
      <c r="C117" s="2" t="s">
        <v>589</v>
      </c>
      <c r="D117" s="168">
        <v>583.4</v>
      </c>
    </row>
    <row r="118" spans="1:4" ht="51">
      <c r="A118" s="9"/>
      <c r="B118" s="124"/>
      <c r="C118" s="50" t="s">
        <v>590</v>
      </c>
      <c r="D118" s="169">
        <f>38025.3+317.8</f>
        <v>38343.100000000006</v>
      </c>
    </row>
    <row r="119" spans="1:4" ht="51">
      <c r="A119" s="9"/>
      <c r="B119" s="124"/>
      <c r="C119" s="50" t="s">
        <v>591</v>
      </c>
      <c r="D119" s="170">
        <f>9210.7+76.9</f>
        <v>9287.6</v>
      </c>
    </row>
    <row r="120" spans="1:4" ht="51">
      <c r="A120" s="9"/>
      <c r="B120" s="124"/>
      <c r="C120" s="125" t="s">
        <v>592</v>
      </c>
      <c r="D120" s="170">
        <v>1972.7</v>
      </c>
    </row>
    <row r="121" spans="1:4" ht="25.5">
      <c r="A121" s="9"/>
      <c r="B121" s="124"/>
      <c r="C121" s="2" t="s">
        <v>593</v>
      </c>
      <c r="D121" s="173">
        <f>508.1+1.8</f>
        <v>509.90000000000003</v>
      </c>
    </row>
    <row r="122" spans="1:4" ht="25.5">
      <c r="A122" s="9"/>
      <c r="B122" s="124"/>
      <c r="C122" s="2" t="s">
        <v>594</v>
      </c>
      <c r="D122" s="173">
        <f>2348.4+9.6</f>
        <v>2358</v>
      </c>
    </row>
    <row r="123" spans="1:4" ht="25.5">
      <c r="A123" s="9"/>
      <c r="B123" s="124"/>
      <c r="C123" s="2" t="s">
        <v>595</v>
      </c>
      <c r="D123" s="173">
        <f>104.5+0.5</f>
        <v>105</v>
      </c>
    </row>
    <row r="124" spans="1:4" ht="51">
      <c r="A124" s="9"/>
      <c r="B124" s="124"/>
      <c r="C124" s="2" t="s">
        <v>113</v>
      </c>
      <c r="D124" s="173">
        <f>572908.5+5666.6+11110.5</f>
        <v>589685.6</v>
      </c>
    </row>
    <row r="125" spans="1:4" ht="38.25">
      <c r="A125" s="9"/>
      <c r="B125" s="124"/>
      <c r="C125" s="2" t="s">
        <v>596</v>
      </c>
      <c r="D125" s="173">
        <v>206.5</v>
      </c>
    </row>
    <row r="126" spans="1:4" ht="51">
      <c r="A126" s="9"/>
      <c r="B126" s="124"/>
      <c r="C126" s="2" t="s">
        <v>597</v>
      </c>
      <c r="D126" s="174">
        <f>24.9+0.1</f>
        <v>25</v>
      </c>
    </row>
    <row r="127" spans="1:4" ht="12.75">
      <c r="A127" s="9"/>
      <c r="B127" s="124"/>
      <c r="C127" s="2" t="s">
        <v>142</v>
      </c>
      <c r="D127" s="174">
        <f>89207+531.3-2814.5+0.025</f>
        <v>86923.825</v>
      </c>
    </row>
    <row r="128" spans="1:4" ht="38.25">
      <c r="A128" s="9"/>
      <c r="B128" s="124"/>
      <c r="C128" s="2" t="s">
        <v>598</v>
      </c>
      <c r="D128" s="170">
        <f>3.7+0.1</f>
        <v>3.8000000000000003</v>
      </c>
    </row>
    <row r="129" spans="1:4" ht="25.5">
      <c r="A129" s="9"/>
      <c r="B129" s="124"/>
      <c r="C129" s="126" t="s">
        <v>599</v>
      </c>
      <c r="D129" s="173">
        <v>6912.3</v>
      </c>
    </row>
    <row r="130" spans="1:4" ht="12.75">
      <c r="A130" s="9"/>
      <c r="B130" s="124"/>
      <c r="C130" s="127" t="s">
        <v>600</v>
      </c>
      <c r="D130" s="173">
        <v>6387.8</v>
      </c>
    </row>
    <row r="131" spans="1:4" ht="12.75">
      <c r="A131" s="9"/>
      <c r="B131" s="124"/>
      <c r="C131" s="127" t="s">
        <v>601</v>
      </c>
      <c r="D131" s="173">
        <v>524.5</v>
      </c>
    </row>
    <row r="132" spans="1:4" ht="12.75">
      <c r="A132" s="9"/>
      <c r="B132" s="124"/>
      <c r="C132" s="2" t="s">
        <v>602</v>
      </c>
      <c r="D132" s="173">
        <v>20.6</v>
      </c>
    </row>
    <row r="133" spans="1:4" ht="63.75">
      <c r="A133" s="9"/>
      <c r="B133" s="124"/>
      <c r="C133" s="2" t="s">
        <v>603</v>
      </c>
      <c r="D133" s="173">
        <f>515.8-309.4</f>
        <v>206.39999999999998</v>
      </c>
    </row>
    <row r="134" spans="1:4" ht="25.5">
      <c r="A134" s="9"/>
      <c r="B134" s="124"/>
      <c r="C134" s="125" t="s">
        <v>604</v>
      </c>
      <c r="D134" s="171">
        <f>D135+D136</f>
        <v>30618.600000000002</v>
      </c>
    </row>
    <row r="135" spans="1:4" ht="12.75">
      <c r="A135" s="9"/>
      <c r="B135" s="124"/>
      <c r="C135" s="128" t="s">
        <v>605</v>
      </c>
      <c r="D135" s="171">
        <f>9531.4+48.9</f>
        <v>9580.3</v>
      </c>
    </row>
    <row r="136" spans="1:4" ht="12.75">
      <c r="A136" s="9"/>
      <c r="B136" s="124"/>
      <c r="C136" s="128" t="s">
        <v>606</v>
      </c>
      <c r="D136" s="171">
        <f>20948.4+89.9</f>
        <v>21038.300000000003</v>
      </c>
    </row>
    <row r="137" spans="1:4" ht="38.25">
      <c r="A137" s="9"/>
      <c r="B137" s="124"/>
      <c r="C137" s="125" t="s">
        <v>607</v>
      </c>
      <c r="D137" s="172">
        <v>458.6</v>
      </c>
    </row>
    <row r="138" spans="1:4" ht="51">
      <c r="A138" s="117" t="s">
        <v>413</v>
      </c>
      <c r="B138" s="124" t="s">
        <v>608</v>
      </c>
      <c r="C138" s="125" t="s">
        <v>609</v>
      </c>
      <c r="D138" s="172">
        <f>D139</f>
        <v>20635</v>
      </c>
    </row>
    <row r="139" spans="1:4" ht="51">
      <c r="A139" s="117" t="s">
        <v>413</v>
      </c>
      <c r="B139" s="124" t="s">
        <v>610</v>
      </c>
      <c r="C139" s="125" t="s">
        <v>611</v>
      </c>
      <c r="D139" s="172">
        <f>52091.3-515.8-30940.5</f>
        <v>20635</v>
      </c>
    </row>
    <row r="140" spans="1:4" ht="51">
      <c r="A140" s="117" t="s">
        <v>413</v>
      </c>
      <c r="B140" s="124" t="s">
        <v>612</v>
      </c>
      <c r="C140" s="125" t="s">
        <v>613</v>
      </c>
      <c r="D140" s="172">
        <f>D141</f>
        <v>11155.9</v>
      </c>
    </row>
    <row r="141" spans="1:4" ht="39.75" customHeight="1">
      <c r="A141" s="117" t="s">
        <v>413</v>
      </c>
      <c r="B141" s="124" t="s">
        <v>614</v>
      </c>
      <c r="C141" s="2" t="s">
        <v>615</v>
      </c>
      <c r="D141" s="170">
        <f>11614.5-458.6</f>
        <v>11155.9</v>
      </c>
    </row>
    <row r="142" spans="1:4" ht="12.75">
      <c r="A142" s="117" t="s">
        <v>413</v>
      </c>
      <c r="B142" s="124" t="s">
        <v>616</v>
      </c>
      <c r="C142" s="2" t="s">
        <v>617</v>
      </c>
      <c r="D142" s="170">
        <f>D143</f>
        <v>15175.5</v>
      </c>
    </row>
    <row r="143" spans="1:4" ht="12.75">
      <c r="A143" s="117" t="s">
        <v>413</v>
      </c>
      <c r="B143" s="124" t="s">
        <v>618</v>
      </c>
      <c r="C143" s="2" t="s">
        <v>619</v>
      </c>
      <c r="D143" s="173">
        <v>15175.5</v>
      </c>
    </row>
    <row r="144" spans="1:4" ht="63.75">
      <c r="A144" s="117" t="s">
        <v>413</v>
      </c>
      <c r="B144" s="124" t="s">
        <v>620</v>
      </c>
      <c r="C144" s="129" t="s">
        <v>621</v>
      </c>
      <c r="D144" s="168">
        <f>D145</f>
        <v>16329.6</v>
      </c>
    </row>
    <row r="145" spans="1:4" ht="67.5" customHeight="1">
      <c r="A145" s="117" t="s">
        <v>413</v>
      </c>
      <c r="B145" s="124" t="s">
        <v>622</v>
      </c>
      <c r="C145" s="129" t="s">
        <v>623</v>
      </c>
      <c r="D145" s="211">
        <f>15548.4+781.2</f>
        <v>16329.6</v>
      </c>
    </row>
    <row r="146" spans="1:4" ht="51">
      <c r="A146" s="117" t="s">
        <v>413</v>
      </c>
      <c r="B146" s="124" t="s">
        <v>624</v>
      </c>
      <c r="C146" s="129" t="s">
        <v>625</v>
      </c>
      <c r="D146" s="212">
        <f>D147</f>
        <v>1166.3999999999999</v>
      </c>
    </row>
    <row r="147" spans="1:4" ht="51">
      <c r="A147" s="117" t="s">
        <v>413</v>
      </c>
      <c r="B147" s="124" t="s">
        <v>626</v>
      </c>
      <c r="C147" s="130" t="s">
        <v>627</v>
      </c>
      <c r="D147" s="168">
        <f>1110.6+55.8</f>
        <v>1166.3999999999999</v>
      </c>
    </row>
    <row r="148" spans="1:4" ht="12.75">
      <c r="A148" s="1" t="s">
        <v>413</v>
      </c>
      <c r="B148" s="16" t="s">
        <v>628</v>
      </c>
      <c r="C148" s="16" t="s">
        <v>100</v>
      </c>
      <c r="D148" s="170">
        <f>D149+D177+D179</f>
        <v>210451.90899999999</v>
      </c>
    </row>
    <row r="149" spans="1:4" ht="38.25">
      <c r="A149" s="9" t="s">
        <v>413</v>
      </c>
      <c r="B149" s="124" t="s">
        <v>629</v>
      </c>
      <c r="C149" s="16" t="s">
        <v>630</v>
      </c>
      <c r="D149" s="170">
        <f>D150</f>
        <v>116540.21199999998</v>
      </c>
    </row>
    <row r="150" spans="1:4" ht="51">
      <c r="A150" s="9" t="s">
        <v>413</v>
      </c>
      <c r="B150" s="124" t="s">
        <v>631</v>
      </c>
      <c r="C150" s="131" t="s">
        <v>632</v>
      </c>
      <c r="D150" s="164">
        <f>D151</f>
        <v>116540.21199999998</v>
      </c>
    </row>
    <row r="151" spans="1:4" ht="12.75">
      <c r="A151" s="117"/>
      <c r="B151" s="16"/>
      <c r="C151" s="125" t="s">
        <v>633</v>
      </c>
      <c r="D151" s="173">
        <f>SUM(D152:D176)</f>
        <v>116540.21199999998</v>
      </c>
    </row>
    <row r="152" spans="1:4" ht="25.5">
      <c r="A152" s="117"/>
      <c r="B152" s="16"/>
      <c r="C152" s="132" t="s">
        <v>634</v>
      </c>
      <c r="D152" s="173">
        <f>1004.4+34.3</f>
        <v>1038.7</v>
      </c>
    </row>
    <row r="153" spans="1:4" ht="12.75">
      <c r="A153" s="117"/>
      <c r="B153" s="16"/>
      <c r="C153" s="2" t="s">
        <v>635</v>
      </c>
      <c r="D153" s="173">
        <v>2750</v>
      </c>
    </row>
    <row r="154" spans="1:4" ht="25.5">
      <c r="A154" s="117"/>
      <c r="B154" s="16"/>
      <c r="C154" s="2" t="s">
        <v>636</v>
      </c>
      <c r="D154" s="173">
        <v>41.3</v>
      </c>
    </row>
    <row r="155" spans="1:4" ht="12.75">
      <c r="A155" s="117"/>
      <c r="B155" s="16"/>
      <c r="C155" s="125" t="s">
        <v>97</v>
      </c>
      <c r="D155" s="173">
        <v>3844.4</v>
      </c>
    </row>
    <row r="156" spans="1:4" ht="25.5">
      <c r="A156" s="117"/>
      <c r="B156" s="16"/>
      <c r="C156" s="133" t="s">
        <v>637</v>
      </c>
      <c r="D156" s="175">
        <f>1838.7+74.4</f>
        <v>1913.1000000000001</v>
      </c>
    </row>
    <row r="157" spans="1:4" ht="25.5">
      <c r="A157" s="134"/>
      <c r="B157" s="135"/>
      <c r="C157" s="2" t="s">
        <v>638</v>
      </c>
      <c r="D157" s="164">
        <f>3791.9+124.1</f>
        <v>3916</v>
      </c>
    </row>
    <row r="158" spans="1:4" ht="25.5">
      <c r="A158" s="134"/>
      <c r="B158" s="135"/>
      <c r="C158" s="136" t="s">
        <v>639</v>
      </c>
      <c r="D158" s="175">
        <f>2602.4+98.4</f>
        <v>2700.8</v>
      </c>
    </row>
    <row r="159" spans="1:4" ht="25.5">
      <c r="A159" s="117"/>
      <c r="B159" s="16"/>
      <c r="C159" s="125" t="s">
        <v>640</v>
      </c>
      <c r="D159" s="175">
        <f>338.2+12.9</f>
        <v>351.09999999999997</v>
      </c>
    </row>
    <row r="160" spans="1:4" ht="12.75">
      <c r="A160" s="134"/>
      <c r="B160" s="135"/>
      <c r="C160" s="2" t="s">
        <v>641</v>
      </c>
      <c r="D160" s="164">
        <f>376.8+14.2</f>
        <v>391</v>
      </c>
    </row>
    <row r="161" spans="1:4" ht="12.75">
      <c r="A161" s="134"/>
      <c r="B161" s="135"/>
      <c r="C161" s="125" t="s">
        <v>642</v>
      </c>
      <c r="D161" s="173">
        <f>549.4+21.4</f>
        <v>570.8</v>
      </c>
    </row>
    <row r="162" spans="1:4" ht="25.5">
      <c r="A162" s="117"/>
      <c r="B162" s="16"/>
      <c r="C162" s="2" t="s">
        <v>643</v>
      </c>
      <c r="D162" s="173">
        <f>6617.25+1024.38</f>
        <v>7641.63</v>
      </c>
    </row>
    <row r="163" spans="1:4" ht="38.25">
      <c r="A163" s="117"/>
      <c r="B163" s="16"/>
      <c r="C163" s="2" t="s">
        <v>644</v>
      </c>
      <c r="D163" s="173">
        <f>5900.628-158.524</f>
        <v>5742.103999999999</v>
      </c>
    </row>
    <row r="164" spans="1:4" ht="12.75">
      <c r="A164" s="134"/>
      <c r="B164" s="135"/>
      <c r="C164" s="2" t="s">
        <v>101</v>
      </c>
      <c r="D164" s="164">
        <v>2427</v>
      </c>
    </row>
    <row r="165" spans="1:4" ht="25.5">
      <c r="A165" s="134"/>
      <c r="B165" s="135"/>
      <c r="C165" s="2" t="s">
        <v>694</v>
      </c>
      <c r="D165" s="164">
        <f>93.9+67.2</f>
        <v>161.10000000000002</v>
      </c>
    </row>
    <row r="166" spans="1:4" ht="25.5">
      <c r="A166" s="134"/>
      <c r="B166" s="135"/>
      <c r="C166" s="2" t="s">
        <v>138</v>
      </c>
      <c r="D166" s="164">
        <f>3280+52+79</f>
        <v>3411</v>
      </c>
    </row>
    <row r="167" spans="1:4" ht="12.75">
      <c r="A167" s="117"/>
      <c r="B167" s="16"/>
      <c r="C167" s="125" t="s">
        <v>645</v>
      </c>
      <c r="D167" s="175">
        <f>1039.8+41.3+52-26</f>
        <v>1107.1</v>
      </c>
    </row>
    <row r="168" spans="1:4" ht="12.75">
      <c r="A168" s="134"/>
      <c r="B168" s="135"/>
      <c r="C168" s="2" t="s">
        <v>646</v>
      </c>
      <c r="D168" s="164">
        <f>43169.4-76.2+1320+4545.3+7500-1230-100-1400</f>
        <v>53728.50000000001</v>
      </c>
    </row>
    <row r="169" spans="1:4" ht="12.75">
      <c r="A169" s="134"/>
      <c r="B169" s="135"/>
      <c r="C169" s="2" t="s">
        <v>13</v>
      </c>
      <c r="D169" s="164">
        <f>431.7-0.8+13.2+45</f>
        <v>489.09999999999997</v>
      </c>
    </row>
    <row r="170" spans="1:4" ht="15" customHeight="1">
      <c r="A170" s="134"/>
      <c r="B170" s="135"/>
      <c r="C170" s="2" t="s">
        <v>647</v>
      </c>
      <c r="D170" s="164">
        <f>22046+1876.053+2304.065-9141.24</f>
        <v>17084.877999999997</v>
      </c>
    </row>
    <row r="171" spans="1:4" ht="25.5">
      <c r="A171" s="134"/>
      <c r="B171" s="135"/>
      <c r="C171" s="2" t="s">
        <v>648</v>
      </c>
      <c r="D171" s="164">
        <f>679.6+14.2-26+81.2</f>
        <v>749.0000000000001</v>
      </c>
    </row>
    <row r="172" spans="1:4" ht="12.75">
      <c r="A172" s="134"/>
      <c r="B172" s="135"/>
      <c r="C172" s="2" t="s">
        <v>649</v>
      </c>
      <c r="D172" s="164">
        <f>10645-5575-2330</f>
        <v>2740</v>
      </c>
    </row>
    <row r="173" spans="1:4" ht="15" customHeight="1">
      <c r="A173" s="134"/>
      <c r="B173" s="135"/>
      <c r="C173" s="2" t="s">
        <v>650</v>
      </c>
      <c r="D173" s="164">
        <f>106.45-55.75</f>
        <v>50.7</v>
      </c>
    </row>
    <row r="174" spans="1:4" ht="25.5">
      <c r="A174" s="134"/>
      <c r="B174" s="135"/>
      <c r="C174" s="2" t="s">
        <v>651</v>
      </c>
      <c r="D174" s="164">
        <f>809+25.9</f>
        <v>834.9</v>
      </c>
    </row>
    <row r="175" spans="1:4" ht="12.75">
      <c r="A175" s="134"/>
      <c r="B175" s="135"/>
      <c r="C175" s="2" t="s">
        <v>692</v>
      </c>
      <c r="D175" s="164">
        <v>2800</v>
      </c>
    </row>
    <row r="176" spans="1:4" ht="25.5">
      <c r="A176" s="134"/>
      <c r="B176" s="135"/>
      <c r="C176" s="2" t="s">
        <v>693</v>
      </c>
      <c r="D176" s="164">
        <v>56</v>
      </c>
    </row>
    <row r="177" spans="1:4" ht="38.25">
      <c r="A177" s="134" t="s">
        <v>413</v>
      </c>
      <c r="B177" s="124" t="s">
        <v>652</v>
      </c>
      <c r="C177" s="125" t="s">
        <v>653</v>
      </c>
      <c r="D177" s="164">
        <f>D178</f>
        <v>255.9</v>
      </c>
    </row>
    <row r="178" spans="1:4" ht="12.75">
      <c r="A178" s="134" t="s">
        <v>413</v>
      </c>
      <c r="B178" s="124" t="s">
        <v>654</v>
      </c>
      <c r="C178" s="2" t="s">
        <v>655</v>
      </c>
      <c r="D178" s="164">
        <v>255.9</v>
      </c>
    </row>
    <row r="179" spans="1:4" ht="12.75">
      <c r="A179" s="134" t="s">
        <v>413</v>
      </c>
      <c r="B179" s="124" t="s">
        <v>656</v>
      </c>
      <c r="C179" s="2" t="s">
        <v>657</v>
      </c>
      <c r="D179" s="164">
        <f>D180</f>
        <v>93655.797</v>
      </c>
    </row>
    <row r="180" spans="1:4" ht="25.5">
      <c r="A180" s="134" t="s">
        <v>413</v>
      </c>
      <c r="B180" s="124" t="s">
        <v>658</v>
      </c>
      <c r="C180" s="2" t="s">
        <v>659</v>
      </c>
      <c r="D180" s="164">
        <f>D181+D182+D183+D185+D186+D187+D188+D189</f>
        <v>93655.797</v>
      </c>
    </row>
    <row r="181" spans="1:4" ht="25.5">
      <c r="A181" s="134"/>
      <c r="B181" s="124"/>
      <c r="C181" s="2" t="s">
        <v>685</v>
      </c>
      <c r="D181" s="164">
        <v>267.543</v>
      </c>
    </row>
    <row r="182" spans="1:4" ht="38.25">
      <c r="A182" s="134"/>
      <c r="B182" s="124"/>
      <c r="C182" s="2" t="s">
        <v>686</v>
      </c>
      <c r="D182" s="164">
        <v>11537.6</v>
      </c>
    </row>
    <row r="183" spans="1:4" ht="38.25">
      <c r="A183" s="134"/>
      <c r="B183" s="135"/>
      <c r="C183" s="2" t="s">
        <v>830</v>
      </c>
      <c r="D183" s="164">
        <f>D184</f>
        <v>1050</v>
      </c>
    </row>
    <row r="184" spans="1:4" ht="12.75">
      <c r="A184" s="134"/>
      <c r="B184" s="135"/>
      <c r="C184" s="2" t="s">
        <v>660</v>
      </c>
      <c r="D184" s="164">
        <v>1050</v>
      </c>
    </row>
    <row r="185" spans="1:4" ht="25.5">
      <c r="A185" s="134"/>
      <c r="B185" s="135"/>
      <c r="C185" s="2" t="s">
        <v>248</v>
      </c>
      <c r="D185" s="164">
        <f>62146.6+985.1+62.1</f>
        <v>63193.799999999996</v>
      </c>
    </row>
    <row r="186" spans="1:4" ht="25.5">
      <c r="A186" s="134"/>
      <c r="B186" s="135"/>
      <c r="C186" s="2" t="s">
        <v>684</v>
      </c>
      <c r="D186" s="164">
        <v>20.454</v>
      </c>
    </row>
    <row r="187" spans="1:4" ht="12.75" customHeight="1">
      <c r="A187" s="134"/>
      <c r="B187" s="135"/>
      <c r="C187" s="2" t="s">
        <v>744</v>
      </c>
      <c r="D187" s="164">
        <v>160</v>
      </c>
    </row>
    <row r="188" spans="1:4" ht="12.75" customHeight="1">
      <c r="A188" s="134"/>
      <c r="B188" s="135"/>
      <c r="C188" s="2" t="s">
        <v>1061</v>
      </c>
      <c r="D188" s="164">
        <v>16214.1</v>
      </c>
    </row>
    <row r="189" spans="1:4" ht="12.75" customHeight="1">
      <c r="A189" s="134"/>
      <c r="B189" s="135"/>
      <c r="C189" s="2" t="s">
        <v>1079</v>
      </c>
      <c r="D189" s="164">
        <v>1212.3</v>
      </c>
    </row>
    <row r="190" spans="1:4" ht="12.75">
      <c r="A190" s="110" t="s">
        <v>413</v>
      </c>
      <c r="B190" s="110" t="s">
        <v>739</v>
      </c>
      <c r="C190" s="111" t="s">
        <v>740</v>
      </c>
      <c r="D190" s="195">
        <f>D191</f>
        <v>14000</v>
      </c>
    </row>
    <row r="191" spans="1:4" ht="12.75">
      <c r="A191" s="197" t="s">
        <v>413</v>
      </c>
      <c r="B191" s="197" t="s">
        <v>741</v>
      </c>
      <c r="C191" s="198" t="s">
        <v>742</v>
      </c>
      <c r="D191" s="195">
        <v>14000</v>
      </c>
    </row>
    <row r="192" spans="1:4" ht="12.75">
      <c r="A192" s="197"/>
      <c r="B192" s="197"/>
      <c r="C192" s="198" t="s">
        <v>1198</v>
      </c>
      <c r="D192" s="195">
        <v>14000</v>
      </c>
    </row>
    <row r="193" spans="1:4" ht="38.25">
      <c r="A193" s="197" t="s">
        <v>413</v>
      </c>
      <c r="B193" s="110" t="s">
        <v>1090</v>
      </c>
      <c r="C193" s="198" t="s">
        <v>1091</v>
      </c>
      <c r="D193" s="195">
        <f>D194</f>
        <v>2510</v>
      </c>
    </row>
    <row r="194" spans="1:4" ht="38.25">
      <c r="A194" s="197" t="s">
        <v>413</v>
      </c>
      <c r="B194" s="110" t="s">
        <v>1094</v>
      </c>
      <c r="C194" s="198" t="s">
        <v>1092</v>
      </c>
      <c r="D194" s="195">
        <f>D195+D196+D197</f>
        <v>2510</v>
      </c>
    </row>
    <row r="195" spans="1:4" ht="38.25">
      <c r="A195" s="197" t="s">
        <v>413</v>
      </c>
      <c r="B195" s="110" t="s">
        <v>1095</v>
      </c>
      <c r="C195" s="198" t="s">
        <v>1118</v>
      </c>
      <c r="D195" s="195">
        <f>2448-608</f>
        <v>1840</v>
      </c>
    </row>
    <row r="196" spans="1:4" ht="25.5">
      <c r="A196" s="197" t="s">
        <v>413</v>
      </c>
      <c r="B196" s="110" t="s">
        <v>1116</v>
      </c>
      <c r="C196" s="198" t="s">
        <v>1093</v>
      </c>
      <c r="D196" s="195">
        <v>608</v>
      </c>
    </row>
    <row r="197" spans="1:4" ht="25.5">
      <c r="A197" s="197" t="s">
        <v>413</v>
      </c>
      <c r="B197" s="110" t="s">
        <v>1117</v>
      </c>
      <c r="C197" s="198" t="s">
        <v>1096</v>
      </c>
      <c r="D197" s="195">
        <v>62</v>
      </c>
    </row>
    <row r="198" spans="1:4" s="404" customFormat="1" ht="26.25" customHeight="1">
      <c r="A198" s="197" t="s">
        <v>413</v>
      </c>
      <c r="B198" s="110" t="s">
        <v>1072</v>
      </c>
      <c r="C198" s="198" t="s">
        <v>1070</v>
      </c>
      <c r="D198" s="195">
        <f>D199</f>
        <v>-21462.453</v>
      </c>
    </row>
    <row r="199" spans="1:4" ht="26.25" customHeight="1">
      <c r="A199" s="197" t="s">
        <v>413</v>
      </c>
      <c r="B199" s="110" t="s">
        <v>1069</v>
      </c>
      <c r="C199" s="198" t="s">
        <v>1071</v>
      </c>
      <c r="D199" s="195">
        <v>-21462.453</v>
      </c>
    </row>
    <row r="200" spans="1:4" ht="12.75">
      <c r="A200" s="37"/>
      <c r="B200" s="137" t="s">
        <v>134</v>
      </c>
      <c r="C200" s="138" t="s">
        <v>661</v>
      </c>
      <c r="D200" s="176">
        <f>D7+D89</f>
        <v>2596955.3</v>
      </c>
    </row>
  </sheetData>
  <sheetProtection/>
  <mergeCells count="5">
    <mergeCell ref="C1:D1"/>
    <mergeCell ref="C2:D2"/>
    <mergeCell ref="A3:D3"/>
    <mergeCell ref="A4:D4"/>
    <mergeCell ref="B5:D5"/>
  </mergeCells>
  <printOptions/>
  <pageMargins left="0.5905511811023623" right="0" top="0.1968503937007874" bottom="0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5.28125" style="6" customWidth="1"/>
    <col min="2" max="2" width="20.140625" style="11" customWidth="1"/>
    <col min="3" max="3" width="56.57421875" style="87" customWidth="1"/>
    <col min="4" max="4" width="10.421875" style="139" customWidth="1"/>
    <col min="5" max="16384" width="9.140625" style="102" customWidth="1"/>
  </cols>
  <sheetData>
    <row r="1" spans="1:4" ht="12.75">
      <c r="A1" s="590" t="s">
        <v>1182</v>
      </c>
      <c r="B1" s="590"/>
      <c r="C1" s="590"/>
      <c r="D1" s="590"/>
    </row>
    <row r="2" spans="1:4" ht="12.75">
      <c r="A2" s="590" t="s">
        <v>695</v>
      </c>
      <c r="B2" s="590"/>
      <c r="C2" s="590"/>
      <c r="D2" s="590"/>
    </row>
    <row r="3" spans="1:4" ht="12.75">
      <c r="A3" s="591" t="s">
        <v>1205</v>
      </c>
      <c r="B3" s="591"/>
      <c r="C3" s="591"/>
      <c r="D3" s="591"/>
    </row>
    <row r="4" spans="1:4" ht="12.75">
      <c r="A4" s="438"/>
      <c r="B4" s="438"/>
      <c r="C4" s="439"/>
      <c r="D4" s="438"/>
    </row>
    <row r="5" spans="1:4" ht="15.75">
      <c r="A5" s="588" t="s">
        <v>1146</v>
      </c>
      <c r="B5" s="592"/>
      <c r="C5" s="592"/>
      <c r="D5" s="592"/>
    </row>
    <row r="6" spans="2:4" ht="12.75">
      <c r="B6" s="593"/>
      <c r="C6" s="593"/>
      <c r="D6" s="593"/>
    </row>
    <row r="7" spans="1:4" ht="38.25">
      <c r="A7" s="1" t="s">
        <v>410</v>
      </c>
      <c r="B7" s="440"/>
      <c r="C7" s="441" t="s">
        <v>411</v>
      </c>
      <c r="D7" s="442" t="s">
        <v>1107</v>
      </c>
    </row>
    <row r="8" spans="1:4" ht="12.75">
      <c r="A8" s="37" t="s">
        <v>413</v>
      </c>
      <c r="B8" s="107" t="s">
        <v>550</v>
      </c>
      <c r="C8" s="116" t="s">
        <v>551</v>
      </c>
      <c r="D8" s="444">
        <f>D9</f>
        <v>8000</v>
      </c>
    </row>
    <row r="9" spans="1:4" ht="25.5">
      <c r="A9" s="1" t="s">
        <v>413</v>
      </c>
      <c r="B9" s="16" t="s">
        <v>552</v>
      </c>
      <c r="C9" s="2" t="s">
        <v>553</v>
      </c>
      <c r="D9" s="443">
        <f>D10</f>
        <v>8000</v>
      </c>
    </row>
    <row r="10" spans="1:4" ht="12.75">
      <c r="A10" s="1" t="s">
        <v>413</v>
      </c>
      <c r="B10" s="16" t="s">
        <v>628</v>
      </c>
      <c r="C10" s="16" t="s">
        <v>100</v>
      </c>
      <c r="D10" s="445">
        <f>D11</f>
        <v>8000</v>
      </c>
    </row>
    <row r="11" spans="1:4" ht="57.75" customHeight="1">
      <c r="A11" s="9" t="s">
        <v>413</v>
      </c>
      <c r="B11" s="124" t="s">
        <v>629</v>
      </c>
      <c r="C11" s="16" t="s">
        <v>630</v>
      </c>
      <c r="D11" s="445">
        <f>D12</f>
        <v>8000</v>
      </c>
    </row>
    <row r="12" spans="1:4" ht="53.25" customHeight="1">
      <c r="A12" s="9" t="s">
        <v>413</v>
      </c>
      <c r="B12" s="124" t="s">
        <v>631</v>
      </c>
      <c r="C12" s="131" t="s">
        <v>632</v>
      </c>
      <c r="D12" s="443">
        <f>D13</f>
        <v>8000</v>
      </c>
    </row>
    <row r="13" spans="1:4" ht="12.75">
      <c r="A13" s="117"/>
      <c r="B13" s="16"/>
      <c r="C13" s="125" t="s">
        <v>646</v>
      </c>
      <c r="D13" s="445">
        <v>8000</v>
      </c>
    </row>
    <row r="14" spans="1:4" ht="12.75">
      <c r="A14" s="37"/>
      <c r="B14" s="137" t="s">
        <v>134</v>
      </c>
      <c r="C14" s="138" t="s">
        <v>661</v>
      </c>
      <c r="D14" s="446">
        <f>D8</f>
        <v>8000</v>
      </c>
    </row>
  </sheetData>
  <sheetProtection/>
  <mergeCells count="5">
    <mergeCell ref="A1:D1"/>
    <mergeCell ref="A2:D2"/>
    <mergeCell ref="A3:D3"/>
    <mergeCell ref="A5:D5"/>
    <mergeCell ref="B6:D6"/>
  </mergeCells>
  <printOptions/>
  <pageMargins left="0.5905511811023623" right="0" top="0.3937007874015748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">
      <selection activeCell="C20" sqref="C20:E20"/>
    </sheetView>
  </sheetViews>
  <sheetFormatPr defaultColWidth="9.140625" defaultRowHeight="15"/>
  <cols>
    <col min="1" max="1" width="6.8515625" style="102" customWidth="1"/>
    <col min="2" max="2" width="20.28125" style="102" customWidth="1"/>
    <col min="3" max="3" width="42.7109375" style="102" customWidth="1"/>
    <col min="4" max="4" width="12.28125" style="102" customWidth="1"/>
    <col min="5" max="5" width="11.28125" style="102" customWidth="1"/>
    <col min="6" max="16384" width="9.140625" style="102" customWidth="1"/>
  </cols>
  <sheetData>
    <row r="1" spans="4:5" ht="12.75">
      <c r="D1" s="595" t="s">
        <v>1029</v>
      </c>
      <c r="E1" s="595"/>
    </row>
    <row r="2" spans="3:5" ht="12.75">
      <c r="C2" s="575" t="s">
        <v>1002</v>
      </c>
      <c r="D2" s="575"/>
      <c r="E2" s="575"/>
    </row>
    <row r="3" spans="3:5" ht="12.75">
      <c r="C3" s="594" t="s">
        <v>1206</v>
      </c>
      <c r="D3" s="594"/>
      <c r="E3" s="594"/>
    </row>
    <row r="4" spans="1:5" ht="17.25" customHeight="1">
      <c r="A4" s="596" t="s">
        <v>1003</v>
      </c>
      <c r="B4" s="596"/>
      <c r="C4" s="596"/>
      <c r="D4" s="596"/>
      <c r="E4" s="596"/>
    </row>
    <row r="5" spans="1:5" s="400" customFormat="1" ht="44.25" customHeight="1">
      <c r="A5" s="399" t="s">
        <v>1004</v>
      </c>
      <c r="B5" s="399" t="s">
        <v>1005</v>
      </c>
      <c r="C5" s="399" t="s">
        <v>1006</v>
      </c>
      <c r="D5" s="597" t="s">
        <v>22</v>
      </c>
      <c r="E5" s="598"/>
    </row>
    <row r="6" spans="1:5" ht="28.5" customHeight="1" hidden="1">
      <c r="A6" s="33">
        <v>703</v>
      </c>
      <c r="B6" s="18" t="s">
        <v>1007</v>
      </c>
      <c r="C6" s="401" t="s">
        <v>1008</v>
      </c>
      <c r="D6" s="599">
        <v>0</v>
      </c>
      <c r="E6" s="600"/>
    </row>
    <row r="7" spans="1:5" ht="38.25" hidden="1">
      <c r="A7" s="18">
        <v>703</v>
      </c>
      <c r="B7" s="18" t="s">
        <v>1009</v>
      </c>
      <c r="C7" s="401" t="s">
        <v>1010</v>
      </c>
      <c r="D7" s="599">
        <v>0</v>
      </c>
      <c r="E7" s="600"/>
    </row>
    <row r="8" spans="1:5" ht="30.75" customHeight="1">
      <c r="A8" s="18">
        <v>703</v>
      </c>
      <c r="B8" s="18" t="s">
        <v>1011</v>
      </c>
      <c r="C8" s="401" t="s">
        <v>1012</v>
      </c>
      <c r="D8" s="599">
        <v>45000</v>
      </c>
      <c r="E8" s="600"/>
    </row>
    <row r="9" spans="1:5" ht="28.5" customHeight="1">
      <c r="A9" s="18">
        <v>703</v>
      </c>
      <c r="B9" s="18" t="s">
        <v>1013</v>
      </c>
      <c r="C9" s="401" t="s">
        <v>1014</v>
      </c>
      <c r="D9" s="599">
        <v>0</v>
      </c>
      <c r="E9" s="600"/>
    </row>
    <row r="10" spans="1:5" ht="25.5">
      <c r="A10" s="18">
        <v>750</v>
      </c>
      <c r="B10" s="18" t="s">
        <v>1015</v>
      </c>
      <c r="C10" s="401" t="s">
        <v>793</v>
      </c>
      <c r="D10" s="599">
        <v>0</v>
      </c>
      <c r="E10" s="600"/>
    </row>
    <row r="11" spans="1:5" ht="25.5">
      <c r="A11" s="18">
        <v>750</v>
      </c>
      <c r="B11" s="18" t="s">
        <v>1016</v>
      </c>
      <c r="C11" s="401" t="s">
        <v>794</v>
      </c>
      <c r="D11" s="603">
        <f>8180.5-691.253+53576.728+33282.512+65274.457</f>
        <v>159622.94400000002</v>
      </c>
      <c r="E11" s="604"/>
    </row>
    <row r="12" spans="1:5" ht="38.25">
      <c r="A12" s="18">
        <v>750</v>
      </c>
      <c r="B12" s="18" t="s">
        <v>1017</v>
      </c>
      <c r="C12" s="401" t="s">
        <v>1018</v>
      </c>
      <c r="D12" s="603">
        <v>155</v>
      </c>
      <c r="E12" s="604"/>
    </row>
    <row r="13" spans="1:5" ht="38.25">
      <c r="A13" s="18">
        <v>750</v>
      </c>
      <c r="B13" s="18" t="s">
        <v>1019</v>
      </c>
      <c r="C13" s="401" t="s">
        <v>795</v>
      </c>
      <c r="D13" s="599">
        <v>18000</v>
      </c>
      <c r="E13" s="600"/>
    </row>
    <row r="14" spans="1:5" ht="38.25">
      <c r="A14" s="18">
        <v>750</v>
      </c>
      <c r="B14" s="18" t="s">
        <v>1020</v>
      </c>
      <c r="C14" s="401" t="s">
        <v>796</v>
      </c>
      <c r="D14" s="599">
        <f>18000+450</f>
        <v>18450</v>
      </c>
      <c r="E14" s="600"/>
    </row>
    <row r="15" spans="1:5" ht="27" customHeight="1">
      <c r="A15" s="18">
        <v>750</v>
      </c>
      <c r="B15" s="18" t="s">
        <v>1021</v>
      </c>
      <c r="C15" s="401" t="s">
        <v>1022</v>
      </c>
      <c r="D15" s="599">
        <f>455-155</f>
        <v>300</v>
      </c>
      <c r="E15" s="600"/>
    </row>
    <row r="16" spans="1:5" s="404" customFormat="1" ht="18" customHeight="1">
      <c r="A16" s="402"/>
      <c r="B16" s="402"/>
      <c r="C16" s="403" t="s">
        <v>1023</v>
      </c>
      <c r="D16" s="601">
        <f>D11+D12+D15-D7+D10+D6+D8-D13+D14</f>
        <v>205527.94400000002</v>
      </c>
      <c r="E16" s="602"/>
    </row>
    <row r="17" spans="3:4" s="404" customFormat="1" ht="7.5" customHeight="1">
      <c r="C17" s="27"/>
      <c r="D17" s="27"/>
    </row>
    <row r="18" spans="4:5" ht="12.75">
      <c r="D18" s="595" t="s">
        <v>1183</v>
      </c>
      <c r="E18" s="595"/>
    </row>
    <row r="19" spans="1:5" ht="12.75">
      <c r="A19" s="199"/>
      <c r="B19" s="199"/>
      <c r="C19" s="576" t="s">
        <v>1002</v>
      </c>
      <c r="D19" s="576"/>
      <c r="E19" s="576"/>
    </row>
    <row r="20" spans="1:5" ht="12.75">
      <c r="A20" s="199"/>
      <c r="B20" s="199"/>
      <c r="C20" s="594" t="s">
        <v>1206</v>
      </c>
      <c r="D20" s="594"/>
      <c r="E20" s="594"/>
    </row>
    <row r="21" spans="1:5" ht="6" customHeight="1">
      <c r="A21" s="199"/>
      <c r="B21" s="199"/>
      <c r="C21" s="199"/>
      <c r="D21" s="199"/>
      <c r="E21" s="199"/>
    </row>
    <row r="22" spans="1:5" ht="15.75">
      <c r="A22" s="579" t="s">
        <v>1025</v>
      </c>
      <c r="B22" s="579"/>
      <c r="C22" s="579"/>
      <c r="D22" s="579"/>
      <c r="E22" s="579"/>
    </row>
    <row r="23" spans="1:5" ht="45">
      <c r="A23" s="371" t="s">
        <v>1026</v>
      </c>
      <c r="B23" s="371" t="s">
        <v>1005</v>
      </c>
      <c r="C23" s="538" t="s">
        <v>1006</v>
      </c>
      <c r="D23" s="538" t="s">
        <v>1027</v>
      </c>
      <c r="E23" s="538" t="s">
        <v>1028</v>
      </c>
    </row>
    <row r="24" spans="1:5" ht="28.5" customHeight="1">
      <c r="A24" s="207">
        <v>703</v>
      </c>
      <c r="B24" s="417" t="s">
        <v>1007</v>
      </c>
      <c r="C24" s="418" t="s">
        <v>1008</v>
      </c>
      <c r="D24" s="419">
        <v>0</v>
      </c>
      <c r="E24" s="419">
        <v>0</v>
      </c>
    </row>
    <row r="25" spans="1:5" ht="30.75" customHeight="1">
      <c r="A25" s="417">
        <v>703</v>
      </c>
      <c r="B25" s="417" t="s">
        <v>1009</v>
      </c>
      <c r="C25" s="418" t="s">
        <v>1010</v>
      </c>
      <c r="D25" s="419">
        <v>0</v>
      </c>
      <c r="E25" s="419">
        <v>0</v>
      </c>
    </row>
    <row r="26" spans="1:5" ht="31.5" customHeight="1">
      <c r="A26" s="417">
        <v>703</v>
      </c>
      <c r="B26" s="417" t="s">
        <v>1011</v>
      </c>
      <c r="C26" s="418" t="s">
        <v>1012</v>
      </c>
      <c r="D26" s="419">
        <v>0</v>
      </c>
      <c r="E26" s="419">
        <v>0</v>
      </c>
    </row>
    <row r="27" spans="1:5" ht="30" customHeight="1">
      <c r="A27" s="417">
        <v>703</v>
      </c>
      <c r="B27" s="417" t="s">
        <v>1013</v>
      </c>
      <c r="C27" s="418" t="s">
        <v>1014</v>
      </c>
      <c r="D27" s="419">
        <v>22500</v>
      </c>
      <c r="E27" s="419">
        <v>22500</v>
      </c>
    </row>
    <row r="28" spans="1:5" ht="25.5">
      <c r="A28" s="417">
        <v>750</v>
      </c>
      <c r="B28" s="417" t="s">
        <v>1015</v>
      </c>
      <c r="C28" s="418" t="s">
        <v>793</v>
      </c>
      <c r="D28" s="419">
        <v>0</v>
      </c>
      <c r="E28" s="419">
        <v>0</v>
      </c>
    </row>
    <row r="29" spans="1:5" ht="25.5">
      <c r="A29" s="417">
        <v>750</v>
      </c>
      <c r="B29" s="417" t="s">
        <v>1016</v>
      </c>
      <c r="C29" s="418" t="s">
        <v>794</v>
      </c>
      <c r="D29" s="419">
        <v>0</v>
      </c>
      <c r="E29" s="419">
        <v>0</v>
      </c>
    </row>
    <row r="30" spans="1:5" ht="38.25">
      <c r="A30" s="417">
        <v>750</v>
      </c>
      <c r="B30" s="417" t="s">
        <v>1019</v>
      </c>
      <c r="C30" s="418" t="s">
        <v>795</v>
      </c>
      <c r="D30" s="419">
        <v>18500</v>
      </c>
      <c r="E30" s="420">
        <v>19000</v>
      </c>
    </row>
    <row r="31" spans="1:5" ht="38.25">
      <c r="A31" s="417">
        <v>750</v>
      </c>
      <c r="B31" s="417" t="s">
        <v>1020</v>
      </c>
      <c r="C31" s="418" t="s">
        <v>796</v>
      </c>
      <c r="D31" s="419">
        <v>18500</v>
      </c>
      <c r="E31" s="420">
        <v>19000</v>
      </c>
    </row>
    <row r="32" spans="1:5" ht="26.25" customHeight="1">
      <c r="A32" s="417">
        <v>750</v>
      </c>
      <c r="B32" s="417" t="s">
        <v>1021</v>
      </c>
      <c r="C32" s="418" t="s">
        <v>1022</v>
      </c>
      <c r="D32" s="419">
        <v>455</v>
      </c>
      <c r="E32" s="420">
        <v>188.4</v>
      </c>
    </row>
    <row r="33" spans="1:5" ht="14.25">
      <c r="A33" s="421"/>
      <c r="B33" s="421"/>
      <c r="C33" s="422" t="s">
        <v>1023</v>
      </c>
      <c r="D33" s="423">
        <f>D32-D25+D24+D26-D27</f>
        <v>-22045</v>
      </c>
      <c r="E33" s="423">
        <f>E32-E25+E24+E26-E27</f>
        <v>-22311.6</v>
      </c>
    </row>
  </sheetData>
  <sheetProtection/>
  <mergeCells count="20"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D12:E12"/>
    <mergeCell ref="C19:E19"/>
    <mergeCell ref="C20:E20"/>
    <mergeCell ref="A22:E22"/>
    <mergeCell ref="D18:E18"/>
    <mergeCell ref="D1:E1"/>
    <mergeCell ref="C2:E2"/>
    <mergeCell ref="C3:E3"/>
    <mergeCell ref="A4:E4"/>
    <mergeCell ref="D5:E5"/>
    <mergeCell ref="D6:E6"/>
  </mergeCells>
  <printOptions/>
  <pageMargins left="0.5118110236220472" right="0.31496062992125984" top="0.1968503937007874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4"/>
  <sheetViews>
    <sheetView zoomScalePageLayoutView="0" workbookViewId="0" topLeftCell="A551">
      <selection activeCell="D564" sqref="D564"/>
    </sheetView>
  </sheetViews>
  <sheetFormatPr defaultColWidth="9.140625" defaultRowHeight="15"/>
  <cols>
    <col min="1" max="1" width="8.28125" style="65" customWidth="1"/>
    <col min="2" max="2" width="9.28125" style="65" customWidth="1"/>
    <col min="3" max="3" width="7.28125" style="65" customWidth="1"/>
    <col min="4" max="4" width="73.421875" style="65" customWidth="1"/>
    <col min="5" max="5" width="11.140625" style="65" bestFit="1" customWidth="1"/>
    <col min="6" max="6" width="10.140625" style="0" hidden="1" customWidth="1"/>
    <col min="7" max="7" width="10.28125" style="0" hidden="1" customWidth="1"/>
    <col min="8" max="8" width="9.7109375" style="0" hidden="1" customWidth="1"/>
    <col min="9" max="9" width="11.7109375" style="0" hidden="1" customWidth="1"/>
    <col min="10" max="11" width="10.140625" style="0" hidden="1" customWidth="1"/>
    <col min="12" max="12" width="11.28125" style="0" hidden="1" customWidth="1"/>
    <col min="13" max="13" width="9.00390625" style="0" hidden="1" customWidth="1"/>
    <col min="14" max="15" width="9.140625" style="65" customWidth="1"/>
  </cols>
  <sheetData>
    <row r="1" spans="1:13" s="11" customFormat="1" ht="12.75">
      <c r="A1" s="6"/>
      <c r="B1" s="6"/>
      <c r="C1" s="6"/>
      <c r="D1" s="575" t="s">
        <v>1184</v>
      </c>
      <c r="E1" s="575"/>
      <c r="L1" s="12"/>
      <c r="M1" s="12"/>
    </row>
    <row r="2" spans="1:13" s="11" customFormat="1" ht="12.75">
      <c r="A2" s="6"/>
      <c r="B2" s="6"/>
      <c r="C2" s="6"/>
      <c r="D2" s="575" t="s">
        <v>322</v>
      </c>
      <c r="E2" s="575"/>
      <c r="L2" s="12"/>
      <c r="M2" s="12"/>
    </row>
    <row r="3" spans="1:13" s="11" customFormat="1" ht="12.75">
      <c r="A3" s="6"/>
      <c r="B3" s="6"/>
      <c r="C3" s="6"/>
      <c r="D3" s="575" t="s">
        <v>1206</v>
      </c>
      <c r="E3" s="575"/>
      <c r="F3" s="575"/>
      <c r="L3" s="12"/>
      <c r="M3" s="12"/>
    </row>
    <row r="4" spans="1:13" s="11" customFormat="1" ht="7.5" customHeight="1">
      <c r="A4" s="6"/>
      <c r="B4" s="6"/>
      <c r="C4" s="6"/>
      <c r="D4" s="39"/>
      <c r="E4" s="25"/>
      <c r="L4" s="12"/>
      <c r="M4" s="12"/>
    </row>
    <row r="5" spans="1:13" s="13" customFormat="1" ht="15">
      <c r="A5" s="605" t="s">
        <v>17</v>
      </c>
      <c r="B5" s="605"/>
      <c r="C5" s="605"/>
      <c r="D5" s="605"/>
      <c r="E5" s="605"/>
      <c r="L5" s="14"/>
      <c r="M5" s="14"/>
    </row>
    <row r="6" spans="1:13" s="13" customFormat="1" ht="22.5" customHeight="1">
      <c r="A6" s="605"/>
      <c r="B6" s="605"/>
      <c r="C6" s="605"/>
      <c r="D6" s="605"/>
      <c r="E6" s="605"/>
      <c r="F6" s="40"/>
      <c r="L6" s="14"/>
      <c r="M6" s="14"/>
    </row>
    <row r="7" spans="1:13" s="43" customFormat="1" ht="22.5">
      <c r="A7" s="7" t="s">
        <v>18</v>
      </c>
      <c r="B7" s="7" t="s">
        <v>19</v>
      </c>
      <c r="C7" s="7" t="s">
        <v>20</v>
      </c>
      <c r="D7" s="41" t="s">
        <v>21</v>
      </c>
      <c r="E7" s="42" t="s">
        <v>22</v>
      </c>
      <c r="F7" s="448" t="s">
        <v>72</v>
      </c>
      <c r="G7" s="144" t="s">
        <v>73</v>
      </c>
      <c r="H7" s="458" t="s">
        <v>204</v>
      </c>
      <c r="I7" s="30" t="s">
        <v>74</v>
      </c>
      <c r="J7" s="31" t="s">
        <v>75</v>
      </c>
      <c r="K7" s="468" t="s">
        <v>205</v>
      </c>
      <c r="L7" s="478" t="s">
        <v>182</v>
      </c>
      <c r="M7" s="488" t="s">
        <v>270</v>
      </c>
    </row>
    <row r="8" spans="1:13" s="46" customFormat="1" ht="8.25">
      <c r="A8" s="32" t="s">
        <v>23</v>
      </c>
      <c r="B8" s="32" t="s">
        <v>24</v>
      </c>
      <c r="C8" s="32" t="s">
        <v>25</v>
      </c>
      <c r="D8" s="44">
        <v>4</v>
      </c>
      <c r="E8" s="45">
        <v>5</v>
      </c>
      <c r="F8" s="454"/>
      <c r="G8" s="145"/>
      <c r="H8" s="464"/>
      <c r="I8" s="51"/>
      <c r="J8" s="52"/>
      <c r="K8" s="469"/>
      <c r="L8" s="484"/>
      <c r="M8" s="489"/>
    </row>
    <row r="9" spans="1:13" s="20" customFormat="1" ht="12.75">
      <c r="A9" s="37" t="s">
        <v>26</v>
      </c>
      <c r="B9" s="38"/>
      <c r="C9" s="38"/>
      <c r="D9" s="8" t="s">
        <v>27</v>
      </c>
      <c r="E9" s="425">
        <f>E10+E23+E29</f>
        <v>8174.242000000001</v>
      </c>
      <c r="F9" s="450">
        <f aca="true" t="shared" si="0" ref="F9:L9">F10+F23+F29</f>
        <v>6048.374</v>
      </c>
      <c r="G9" s="140">
        <f t="shared" si="0"/>
        <v>50</v>
      </c>
      <c r="H9" s="460">
        <f t="shared" si="0"/>
        <v>0</v>
      </c>
      <c r="I9" s="88">
        <f t="shared" si="0"/>
        <v>-21.40299999999997</v>
      </c>
      <c r="J9" s="92">
        <f t="shared" si="0"/>
        <v>0</v>
      </c>
      <c r="K9" s="470">
        <f t="shared" si="0"/>
        <v>0</v>
      </c>
      <c r="L9" s="480">
        <f t="shared" si="0"/>
        <v>2116.9919999999997</v>
      </c>
      <c r="M9" s="490">
        <f>M10+M23+M29</f>
        <v>-19.721</v>
      </c>
    </row>
    <row r="10" spans="1:13" s="11" customFormat="1" ht="26.25" customHeight="1">
      <c r="A10" s="9" t="s">
        <v>7</v>
      </c>
      <c r="B10" s="33"/>
      <c r="C10" s="33"/>
      <c r="D10" s="2" t="s">
        <v>215</v>
      </c>
      <c r="E10" s="74">
        <f>E11+E18</f>
        <v>1845.9789999999998</v>
      </c>
      <c r="F10" s="451">
        <f>F11+F18</f>
        <v>1825.6999999999998</v>
      </c>
      <c r="G10" s="141">
        <f aca="true" t="shared" si="1" ref="G10:M10">G11+G18</f>
        <v>50</v>
      </c>
      <c r="H10" s="461">
        <f t="shared" si="1"/>
        <v>0</v>
      </c>
      <c r="I10" s="89">
        <f t="shared" si="1"/>
        <v>0</v>
      </c>
      <c r="J10" s="93">
        <f t="shared" si="1"/>
        <v>0</v>
      </c>
      <c r="K10" s="471">
        <f t="shared" si="1"/>
        <v>0</v>
      </c>
      <c r="L10" s="481">
        <f t="shared" si="1"/>
        <v>0</v>
      </c>
      <c r="M10" s="491">
        <f t="shared" si="1"/>
        <v>-29.721</v>
      </c>
    </row>
    <row r="11" spans="1:13" s="11" customFormat="1" ht="25.5">
      <c r="A11" s="9"/>
      <c r="B11" s="33" t="s">
        <v>28</v>
      </c>
      <c r="C11" s="33"/>
      <c r="D11" s="2" t="s">
        <v>29</v>
      </c>
      <c r="E11" s="74">
        <f>E12</f>
        <v>1795.9789999999998</v>
      </c>
      <c r="F11" s="451">
        <f aca="true" t="shared" si="2" ref="F11:M12">F12</f>
        <v>1825.6999999999998</v>
      </c>
      <c r="G11" s="141">
        <f t="shared" si="2"/>
        <v>0</v>
      </c>
      <c r="H11" s="461">
        <f t="shared" si="2"/>
        <v>0</v>
      </c>
      <c r="I11" s="89">
        <f t="shared" si="2"/>
        <v>0</v>
      </c>
      <c r="J11" s="93">
        <f t="shared" si="2"/>
        <v>0</v>
      </c>
      <c r="K11" s="471">
        <f t="shared" si="2"/>
        <v>0</v>
      </c>
      <c r="L11" s="481">
        <f t="shared" si="2"/>
        <v>0</v>
      </c>
      <c r="M11" s="491">
        <f t="shared" si="2"/>
        <v>-29.721</v>
      </c>
    </row>
    <row r="12" spans="1:13" s="11" customFormat="1" ht="12.75">
      <c r="A12" s="9"/>
      <c r="B12" s="33" t="s">
        <v>30</v>
      </c>
      <c r="C12" s="33"/>
      <c r="D12" s="2" t="s">
        <v>31</v>
      </c>
      <c r="E12" s="74">
        <f>E13</f>
        <v>1795.9789999999998</v>
      </c>
      <c r="F12" s="451">
        <f t="shared" si="2"/>
        <v>1825.6999999999998</v>
      </c>
      <c r="G12" s="141">
        <f t="shared" si="2"/>
        <v>0</v>
      </c>
      <c r="H12" s="461">
        <f t="shared" si="2"/>
        <v>0</v>
      </c>
      <c r="I12" s="89">
        <f t="shared" si="2"/>
        <v>0</v>
      </c>
      <c r="J12" s="93">
        <f t="shared" si="2"/>
        <v>0</v>
      </c>
      <c r="K12" s="471">
        <f t="shared" si="2"/>
        <v>0</v>
      </c>
      <c r="L12" s="481">
        <f t="shared" si="2"/>
        <v>0</v>
      </c>
      <c r="M12" s="491">
        <f t="shared" si="2"/>
        <v>-29.721</v>
      </c>
    </row>
    <row r="13" spans="1:13" s="11" customFormat="1" ht="12.75">
      <c r="A13" s="9"/>
      <c r="B13" s="33" t="s">
        <v>32</v>
      </c>
      <c r="C13" s="33"/>
      <c r="D13" s="2" t="s">
        <v>33</v>
      </c>
      <c r="E13" s="74">
        <f>E14+E16</f>
        <v>1795.9789999999998</v>
      </c>
      <c r="F13" s="451">
        <f aca="true" t="shared" si="3" ref="F13:M13">F14+F16</f>
        <v>1825.6999999999998</v>
      </c>
      <c r="G13" s="141">
        <f t="shared" si="3"/>
        <v>0</v>
      </c>
      <c r="H13" s="461">
        <f t="shared" si="3"/>
        <v>0</v>
      </c>
      <c r="I13" s="89">
        <f t="shared" si="3"/>
        <v>0</v>
      </c>
      <c r="J13" s="93">
        <f t="shared" si="3"/>
        <v>0</v>
      </c>
      <c r="K13" s="471">
        <f t="shared" si="3"/>
        <v>0</v>
      </c>
      <c r="L13" s="481">
        <f t="shared" si="3"/>
        <v>0</v>
      </c>
      <c r="M13" s="491">
        <f t="shared" si="3"/>
        <v>-29.721</v>
      </c>
    </row>
    <row r="14" spans="1:13" s="11" customFormat="1" ht="25.5">
      <c r="A14" s="9"/>
      <c r="B14" s="33"/>
      <c r="C14" s="9" t="s">
        <v>227</v>
      </c>
      <c r="D14" s="16" t="s">
        <v>331</v>
      </c>
      <c r="E14" s="74">
        <f>E15</f>
        <v>1163.1</v>
      </c>
      <c r="F14" s="451">
        <f aca="true" t="shared" si="4" ref="F14:M14">F15</f>
        <v>1163.1</v>
      </c>
      <c r="G14" s="141">
        <f t="shared" si="4"/>
        <v>0</v>
      </c>
      <c r="H14" s="461">
        <f t="shared" si="4"/>
        <v>0</v>
      </c>
      <c r="I14" s="89">
        <f t="shared" si="4"/>
        <v>0</v>
      </c>
      <c r="J14" s="93">
        <f t="shared" si="4"/>
        <v>0</v>
      </c>
      <c r="K14" s="471">
        <f t="shared" si="4"/>
        <v>0</v>
      </c>
      <c r="L14" s="481">
        <f t="shared" si="4"/>
        <v>0</v>
      </c>
      <c r="M14" s="491">
        <f t="shared" si="4"/>
        <v>0</v>
      </c>
    </row>
    <row r="15" spans="1:13" s="11" customFormat="1" ht="12.75">
      <c r="A15" s="9"/>
      <c r="B15" s="33"/>
      <c r="C15" s="9" t="s">
        <v>121</v>
      </c>
      <c r="D15" s="16" t="s">
        <v>229</v>
      </c>
      <c r="E15" s="74">
        <f>F15+G15+H15+I15+J15+K15+L15+M15</f>
        <v>1163.1</v>
      </c>
      <c r="F15" s="455">
        <v>1163.1</v>
      </c>
      <c r="G15" s="146"/>
      <c r="H15" s="465"/>
      <c r="I15" s="53"/>
      <c r="J15" s="54"/>
      <c r="K15" s="472"/>
      <c r="L15" s="485"/>
      <c r="M15" s="492"/>
    </row>
    <row r="16" spans="1:13" s="11" customFormat="1" ht="12.75">
      <c r="A16" s="9"/>
      <c r="B16" s="33"/>
      <c r="C16" s="33">
        <v>200</v>
      </c>
      <c r="D16" s="2" t="s">
        <v>211</v>
      </c>
      <c r="E16" s="74">
        <f>E17</f>
        <v>632.879</v>
      </c>
      <c r="F16" s="451">
        <f aca="true" t="shared" si="5" ref="F16:M16">F17</f>
        <v>662.6</v>
      </c>
      <c r="G16" s="141">
        <f t="shared" si="5"/>
        <v>0</v>
      </c>
      <c r="H16" s="461">
        <f t="shared" si="5"/>
        <v>0</v>
      </c>
      <c r="I16" s="89">
        <f t="shared" si="5"/>
        <v>0</v>
      </c>
      <c r="J16" s="93">
        <f t="shared" si="5"/>
        <v>0</v>
      </c>
      <c r="K16" s="471">
        <f t="shared" si="5"/>
        <v>0</v>
      </c>
      <c r="L16" s="481">
        <f t="shared" si="5"/>
        <v>0</v>
      </c>
      <c r="M16" s="491">
        <f t="shared" si="5"/>
        <v>-29.721</v>
      </c>
    </row>
    <row r="17" spans="1:13" s="11" customFormat="1" ht="12.75">
      <c r="A17" s="9"/>
      <c r="B17" s="33"/>
      <c r="C17" s="33">
        <v>240</v>
      </c>
      <c r="D17" s="2" t="s">
        <v>216</v>
      </c>
      <c r="E17" s="74">
        <f aca="true" t="shared" si="6" ref="E17:E22">F17+G17+H17+I17+J17+K17+L17+M17</f>
        <v>632.879</v>
      </c>
      <c r="F17" s="456">
        <v>662.6</v>
      </c>
      <c r="G17" s="147"/>
      <c r="H17" s="466"/>
      <c r="I17" s="55"/>
      <c r="J17" s="56"/>
      <c r="K17" s="473"/>
      <c r="L17" s="486"/>
      <c r="M17" s="493">
        <v>-29.721</v>
      </c>
    </row>
    <row r="18" spans="1:15" s="62" customFormat="1" ht="12.75">
      <c r="A18" s="81"/>
      <c r="B18" s="1" t="s">
        <v>54</v>
      </c>
      <c r="C18" s="1"/>
      <c r="D18" s="16" t="s">
        <v>55</v>
      </c>
      <c r="E18" s="74">
        <f t="shared" si="6"/>
        <v>50</v>
      </c>
      <c r="F18" s="452">
        <f aca="true" t="shared" si="7" ref="F18:M21">F19</f>
        <v>0</v>
      </c>
      <c r="G18" s="142">
        <f t="shared" si="7"/>
        <v>50</v>
      </c>
      <c r="H18" s="462">
        <f t="shared" si="7"/>
        <v>0</v>
      </c>
      <c r="I18" s="90">
        <f t="shared" si="7"/>
        <v>0</v>
      </c>
      <c r="J18" s="94">
        <f t="shared" si="7"/>
        <v>0</v>
      </c>
      <c r="K18" s="474">
        <f t="shared" si="7"/>
        <v>0</v>
      </c>
      <c r="L18" s="482">
        <f t="shared" si="7"/>
        <v>0</v>
      </c>
      <c r="M18" s="494">
        <f t="shared" si="7"/>
        <v>0</v>
      </c>
      <c r="N18" s="3"/>
      <c r="O18" s="3"/>
    </row>
    <row r="19" spans="1:15" s="62" customFormat="1" ht="12.75">
      <c r="A19" s="81"/>
      <c r="B19" s="1" t="s">
        <v>56</v>
      </c>
      <c r="C19" s="1"/>
      <c r="D19" s="16" t="s">
        <v>57</v>
      </c>
      <c r="E19" s="74">
        <f t="shared" si="6"/>
        <v>50</v>
      </c>
      <c r="F19" s="452">
        <f t="shared" si="7"/>
        <v>0</v>
      </c>
      <c r="G19" s="142">
        <f t="shared" si="7"/>
        <v>50</v>
      </c>
      <c r="H19" s="462">
        <f t="shared" si="7"/>
        <v>0</v>
      </c>
      <c r="I19" s="90">
        <f t="shared" si="7"/>
        <v>0</v>
      </c>
      <c r="J19" s="94">
        <f t="shared" si="7"/>
        <v>0</v>
      </c>
      <c r="K19" s="474">
        <f t="shared" si="7"/>
        <v>0</v>
      </c>
      <c r="L19" s="482">
        <f t="shared" si="7"/>
        <v>0</v>
      </c>
      <c r="M19" s="494">
        <f t="shared" si="7"/>
        <v>0</v>
      </c>
      <c r="N19" s="3"/>
      <c r="O19" s="3"/>
    </row>
    <row r="20" spans="1:15" s="62" customFormat="1" ht="25.5">
      <c r="A20" s="81"/>
      <c r="B20" s="59" t="s">
        <v>287</v>
      </c>
      <c r="C20" s="1"/>
      <c r="D20" s="16" t="s">
        <v>185</v>
      </c>
      <c r="E20" s="74">
        <f t="shared" si="6"/>
        <v>50</v>
      </c>
      <c r="F20" s="452">
        <f t="shared" si="7"/>
        <v>0</v>
      </c>
      <c r="G20" s="142">
        <f t="shared" si="7"/>
        <v>50</v>
      </c>
      <c r="H20" s="462">
        <f t="shared" si="7"/>
        <v>0</v>
      </c>
      <c r="I20" s="90">
        <f t="shared" si="7"/>
        <v>0</v>
      </c>
      <c r="J20" s="94">
        <f t="shared" si="7"/>
        <v>0</v>
      </c>
      <c r="K20" s="474">
        <f t="shared" si="7"/>
        <v>0</v>
      </c>
      <c r="L20" s="482">
        <f t="shared" si="7"/>
        <v>0</v>
      </c>
      <c r="M20" s="494">
        <f t="shared" si="7"/>
        <v>0</v>
      </c>
      <c r="N20" s="3"/>
      <c r="O20" s="3"/>
    </row>
    <row r="21" spans="1:15" s="62" customFormat="1" ht="12.75">
      <c r="A21" s="81"/>
      <c r="B21" s="59"/>
      <c r="C21" s="1" t="s">
        <v>210</v>
      </c>
      <c r="D21" s="16" t="s">
        <v>211</v>
      </c>
      <c r="E21" s="74">
        <f t="shared" si="6"/>
        <v>50</v>
      </c>
      <c r="F21" s="452">
        <f t="shared" si="7"/>
        <v>0</v>
      </c>
      <c r="G21" s="142">
        <f t="shared" si="7"/>
        <v>50</v>
      </c>
      <c r="H21" s="462">
        <f t="shared" si="7"/>
        <v>0</v>
      </c>
      <c r="I21" s="90">
        <f t="shared" si="7"/>
        <v>0</v>
      </c>
      <c r="J21" s="94">
        <f t="shared" si="7"/>
        <v>0</v>
      </c>
      <c r="K21" s="474">
        <f t="shared" si="7"/>
        <v>0</v>
      </c>
      <c r="L21" s="482">
        <f t="shared" si="7"/>
        <v>0</v>
      </c>
      <c r="M21" s="494">
        <f t="shared" si="7"/>
        <v>0</v>
      </c>
      <c r="N21" s="3"/>
      <c r="O21" s="3"/>
    </row>
    <row r="22" spans="1:15" s="62" customFormat="1" ht="12.75">
      <c r="A22" s="81"/>
      <c r="B22" s="59"/>
      <c r="C22" s="1" t="s">
        <v>8</v>
      </c>
      <c r="D22" s="16" t="s">
        <v>216</v>
      </c>
      <c r="E22" s="74">
        <f t="shared" si="6"/>
        <v>50</v>
      </c>
      <c r="F22" s="452"/>
      <c r="G22" s="142">
        <v>50</v>
      </c>
      <c r="H22" s="462"/>
      <c r="I22" s="90"/>
      <c r="J22" s="94"/>
      <c r="K22" s="474"/>
      <c r="L22" s="482"/>
      <c r="M22" s="494"/>
      <c r="N22" s="3"/>
      <c r="O22" s="3"/>
    </row>
    <row r="23" spans="1:15" s="62" customFormat="1" ht="25.5">
      <c r="A23" s="548" t="s">
        <v>11</v>
      </c>
      <c r="B23" s="59"/>
      <c r="C23" s="1"/>
      <c r="D23" s="16" t="s">
        <v>347</v>
      </c>
      <c r="E23" s="74">
        <f>E24</f>
        <v>196.39999999999998</v>
      </c>
      <c r="F23" s="451">
        <f aca="true" t="shared" si="8" ref="F23:M27">F24</f>
        <v>196.39999999999998</v>
      </c>
      <c r="G23" s="141">
        <f t="shared" si="8"/>
        <v>0</v>
      </c>
      <c r="H23" s="461">
        <f t="shared" si="8"/>
        <v>0</v>
      </c>
      <c r="I23" s="89">
        <f t="shared" si="8"/>
        <v>0</v>
      </c>
      <c r="J23" s="93">
        <f t="shared" si="8"/>
        <v>0</v>
      </c>
      <c r="K23" s="471">
        <f t="shared" si="8"/>
        <v>0</v>
      </c>
      <c r="L23" s="481">
        <f t="shared" si="8"/>
        <v>0</v>
      </c>
      <c r="M23" s="491">
        <f t="shared" si="8"/>
        <v>0</v>
      </c>
      <c r="N23" s="3"/>
      <c r="O23" s="3"/>
    </row>
    <row r="24" spans="1:15" s="62" customFormat="1" ht="25.5">
      <c r="A24" s="549"/>
      <c r="B24" s="59" t="s">
        <v>28</v>
      </c>
      <c r="C24" s="1"/>
      <c r="D24" s="2" t="s">
        <v>29</v>
      </c>
      <c r="E24" s="74">
        <f>E25</f>
        <v>196.39999999999998</v>
      </c>
      <c r="F24" s="451">
        <f t="shared" si="8"/>
        <v>196.39999999999998</v>
      </c>
      <c r="G24" s="141">
        <f t="shared" si="8"/>
        <v>0</v>
      </c>
      <c r="H24" s="461">
        <f t="shared" si="8"/>
        <v>0</v>
      </c>
      <c r="I24" s="89">
        <f t="shared" si="8"/>
        <v>0</v>
      </c>
      <c r="J24" s="93">
        <f t="shared" si="8"/>
        <v>0</v>
      </c>
      <c r="K24" s="471">
        <f t="shared" si="8"/>
        <v>0</v>
      </c>
      <c r="L24" s="481">
        <f t="shared" si="8"/>
        <v>0</v>
      </c>
      <c r="M24" s="491">
        <f t="shared" si="8"/>
        <v>0</v>
      </c>
      <c r="N24" s="3"/>
      <c r="O24" s="3"/>
    </row>
    <row r="25" spans="1:15" s="62" customFormat="1" ht="12.75">
      <c r="A25" s="549"/>
      <c r="B25" s="59" t="s">
        <v>30</v>
      </c>
      <c r="C25" s="1"/>
      <c r="D25" s="2" t="s">
        <v>31</v>
      </c>
      <c r="E25" s="74">
        <f>E26</f>
        <v>196.39999999999998</v>
      </c>
      <c r="F25" s="451">
        <f t="shared" si="8"/>
        <v>196.39999999999998</v>
      </c>
      <c r="G25" s="141">
        <f t="shared" si="8"/>
        <v>0</v>
      </c>
      <c r="H25" s="461">
        <f t="shared" si="8"/>
        <v>0</v>
      </c>
      <c r="I25" s="89">
        <f t="shared" si="8"/>
        <v>0</v>
      </c>
      <c r="J25" s="93">
        <f t="shared" si="8"/>
        <v>0</v>
      </c>
      <c r="K25" s="471">
        <f t="shared" si="8"/>
        <v>0</v>
      </c>
      <c r="L25" s="481">
        <f t="shared" si="8"/>
        <v>0</v>
      </c>
      <c r="M25" s="491">
        <f t="shared" si="8"/>
        <v>0</v>
      </c>
      <c r="N25" s="3"/>
      <c r="O25" s="3"/>
    </row>
    <row r="26" spans="1:15" s="62" customFormat="1" ht="12.75">
      <c r="A26" s="549"/>
      <c r="B26" s="59" t="s">
        <v>32</v>
      </c>
      <c r="C26" s="1"/>
      <c r="D26" s="2" t="s">
        <v>33</v>
      </c>
      <c r="E26" s="74">
        <f>E27</f>
        <v>196.39999999999998</v>
      </c>
      <c r="F26" s="451">
        <f t="shared" si="8"/>
        <v>196.39999999999998</v>
      </c>
      <c r="G26" s="141">
        <f t="shared" si="8"/>
        <v>0</v>
      </c>
      <c r="H26" s="461">
        <f t="shared" si="8"/>
        <v>0</v>
      </c>
      <c r="I26" s="89">
        <f t="shared" si="8"/>
        <v>0</v>
      </c>
      <c r="J26" s="93">
        <f t="shared" si="8"/>
        <v>0</v>
      </c>
      <c r="K26" s="471">
        <f t="shared" si="8"/>
        <v>0</v>
      </c>
      <c r="L26" s="481">
        <f t="shared" si="8"/>
        <v>0</v>
      </c>
      <c r="M26" s="491">
        <f t="shared" si="8"/>
        <v>0</v>
      </c>
      <c r="N26" s="3"/>
      <c r="O26" s="3"/>
    </row>
    <row r="27" spans="1:15" s="62" customFormat="1" ht="25.5">
      <c r="A27" s="549"/>
      <c r="B27" s="59"/>
      <c r="C27" s="1" t="s">
        <v>227</v>
      </c>
      <c r="D27" s="16" t="s">
        <v>331</v>
      </c>
      <c r="E27" s="74">
        <f>E28</f>
        <v>196.39999999999998</v>
      </c>
      <c r="F27" s="451">
        <f t="shared" si="8"/>
        <v>196.39999999999998</v>
      </c>
      <c r="G27" s="141">
        <f t="shared" si="8"/>
        <v>0</v>
      </c>
      <c r="H27" s="461">
        <f t="shared" si="8"/>
        <v>0</v>
      </c>
      <c r="I27" s="89">
        <f t="shared" si="8"/>
        <v>0</v>
      </c>
      <c r="J27" s="93">
        <f t="shared" si="8"/>
        <v>0</v>
      </c>
      <c r="K27" s="471">
        <f t="shared" si="8"/>
        <v>0</v>
      </c>
      <c r="L27" s="481">
        <f t="shared" si="8"/>
        <v>0</v>
      </c>
      <c r="M27" s="491">
        <f t="shared" si="8"/>
        <v>0</v>
      </c>
      <c r="N27" s="3"/>
      <c r="O27" s="3"/>
    </row>
    <row r="28" spans="1:15" s="62" customFormat="1" ht="12.75">
      <c r="A28" s="549"/>
      <c r="B28" s="59"/>
      <c r="C28" s="1" t="s">
        <v>121</v>
      </c>
      <c r="D28" s="16" t="s">
        <v>229</v>
      </c>
      <c r="E28" s="74">
        <f>F28+G28+H28+I28+J28+K28+L28+M28</f>
        <v>196.39999999999998</v>
      </c>
      <c r="F28" s="452">
        <f>42.7+153.7</f>
        <v>196.39999999999998</v>
      </c>
      <c r="G28" s="142"/>
      <c r="H28" s="462"/>
      <c r="I28" s="90"/>
      <c r="J28" s="94"/>
      <c r="K28" s="474"/>
      <c r="L28" s="482"/>
      <c r="M28" s="494"/>
      <c r="N28" s="3"/>
      <c r="O28" s="3"/>
    </row>
    <row r="29" spans="1:15" s="62" customFormat="1" ht="12.75">
      <c r="A29" s="1" t="s">
        <v>80</v>
      </c>
      <c r="B29" s="59"/>
      <c r="C29" s="1"/>
      <c r="D29" s="16" t="s">
        <v>81</v>
      </c>
      <c r="E29" s="74">
        <f>E30+E35+E50+E57+E61</f>
        <v>6131.863000000001</v>
      </c>
      <c r="F29" s="451">
        <f aca="true" t="shared" si="9" ref="F29:M29">F30+F35+F50+F57+F61</f>
        <v>4026.2740000000003</v>
      </c>
      <c r="G29" s="141">
        <f t="shared" si="9"/>
        <v>0</v>
      </c>
      <c r="H29" s="461">
        <f t="shared" si="9"/>
        <v>0</v>
      </c>
      <c r="I29" s="89">
        <f t="shared" si="9"/>
        <v>-21.40299999999997</v>
      </c>
      <c r="J29" s="93">
        <f t="shared" si="9"/>
        <v>0</v>
      </c>
      <c r="K29" s="471">
        <f t="shared" si="9"/>
        <v>0</v>
      </c>
      <c r="L29" s="481">
        <f t="shared" si="9"/>
        <v>2116.9919999999997</v>
      </c>
      <c r="M29" s="491">
        <f t="shared" si="9"/>
        <v>10</v>
      </c>
      <c r="N29" s="3"/>
      <c r="O29" s="3"/>
    </row>
    <row r="30" spans="1:15" s="62" customFormat="1" ht="25.5">
      <c r="A30" s="1"/>
      <c r="B30" s="1" t="s">
        <v>386</v>
      </c>
      <c r="C30" s="1"/>
      <c r="D30" s="16" t="s">
        <v>389</v>
      </c>
      <c r="E30" s="74">
        <f>E31</f>
        <v>3099.96</v>
      </c>
      <c r="F30" s="451">
        <f aca="true" t="shared" si="10" ref="F30:M33">F31</f>
        <v>3099.96</v>
      </c>
      <c r="G30" s="141">
        <f t="shared" si="10"/>
        <v>0</v>
      </c>
      <c r="H30" s="461">
        <f t="shared" si="10"/>
        <v>0</v>
      </c>
      <c r="I30" s="89">
        <f t="shared" si="10"/>
        <v>0</v>
      </c>
      <c r="J30" s="93">
        <f t="shared" si="10"/>
        <v>0</v>
      </c>
      <c r="K30" s="471">
        <f t="shared" si="10"/>
        <v>0</v>
      </c>
      <c r="L30" s="481">
        <f t="shared" si="10"/>
        <v>0</v>
      </c>
      <c r="M30" s="491">
        <f t="shared" si="10"/>
        <v>0</v>
      </c>
      <c r="N30" s="3"/>
      <c r="O30" s="3"/>
    </row>
    <row r="31" spans="1:15" s="62" customFormat="1" ht="12.75">
      <c r="A31" s="1"/>
      <c r="B31" s="1" t="s">
        <v>387</v>
      </c>
      <c r="C31" s="1"/>
      <c r="D31" s="16" t="s">
        <v>390</v>
      </c>
      <c r="E31" s="74">
        <f>E32</f>
        <v>3099.96</v>
      </c>
      <c r="F31" s="451">
        <f t="shared" si="10"/>
        <v>3099.96</v>
      </c>
      <c r="G31" s="141">
        <f t="shared" si="10"/>
        <v>0</v>
      </c>
      <c r="H31" s="461">
        <f t="shared" si="10"/>
        <v>0</v>
      </c>
      <c r="I31" s="89">
        <f t="shared" si="10"/>
        <v>0</v>
      </c>
      <c r="J31" s="93">
        <f t="shared" si="10"/>
        <v>0</v>
      </c>
      <c r="K31" s="471">
        <f t="shared" si="10"/>
        <v>0</v>
      </c>
      <c r="L31" s="481">
        <f t="shared" si="10"/>
        <v>0</v>
      </c>
      <c r="M31" s="491">
        <f t="shared" si="10"/>
        <v>0</v>
      </c>
      <c r="N31" s="3"/>
      <c r="O31" s="3"/>
    </row>
    <row r="32" spans="1:15" s="62" customFormat="1" ht="12.75">
      <c r="A32" s="1"/>
      <c r="B32" s="1" t="s">
        <v>388</v>
      </c>
      <c r="C32" s="1"/>
      <c r="D32" s="16" t="s">
        <v>390</v>
      </c>
      <c r="E32" s="74">
        <f>E33</f>
        <v>3099.96</v>
      </c>
      <c r="F32" s="451">
        <f t="shared" si="10"/>
        <v>3099.96</v>
      </c>
      <c r="G32" s="141">
        <f t="shared" si="10"/>
        <v>0</v>
      </c>
      <c r="H32" s="461">
        <f t="shared" si="10"/>
        <v>0</v>
      </c>
      <c r="I32" s="89">
        <f t="shared" si="10"/>
        <v>0</v>
      </c>
      <c r="J32" s="93">
        <f t="shared" si="10"/>
        <v>0</v>
      </c>
      <c r="K32" s="471">
        <f t="shared" si="10"/>
        <v>0</v>
      </c>
      <c r="L32" s="481">
        <f t="shared" si="10"/>
        <v>0</v>
      </c>
      <c r="M32" s="491">
        <f t="shared" si="10"/>
        <v>0</v>
      </c>
      <c r="N32" s="3"/>
      <c r="O32" s="3"/>
    </row>
    <row r="33" spans="1:15" s="62" customFormat="1" ht="12.75">
      <c r="A33" s="1"/>
      <c r="B33" s="1"/>
      <c r="C33" s="1" t="s">
        <v>210</v>
      </c>
      <c r="D33" s="16" t="s">
        <v>211</v>
      </c>
      <c r="E33" s="74">
        <f>E34</f>
        <v>3099.96</v>
      </c>
      <c r="F33" s="451">
        <f t="shared" si="10"/>
        <v>3099.96</v>
      </c>
      <c r="G33" s="141">
        <f t="shared" si="10"/>
        <v>0</v>
      </c>
      <c r="H33" s="461">
        <f t="shared" si="10"/>
        <v>0</v>
      </c>
      <c r="I33" s="89">
        <f t="shared" si="10"/>
        <v>0</v>
      </c>
      <c r="J33" s="93">
        <f t="shared" si="10"/>
        <v>0</v>
      </c>
      <c r="K33" s="471">
        <f t="shared" si="10"/>
        <v>0</v>
      </c>
      <c r="L33" s="481">
        <f t="shared" si="10"/>
        <v>0</v>
      </c>
      <c r="M33" s="491">
        <f t="shared" si="10"/>
        <v>0</v>
      </c>
      <c r="N33" s="3"/>
      <c r="O33" s="3"/>
    </row>
    <row r="34" spans="1:15" s="62" customFormat="1" ht="12.75">
      <c r="A34" s="1"/>
      <c r="B34" s="1"/>
      <c r="C34" s="1" t="s">
        <v>8</v>
      </c>
      <c r="D34" s="16" t="s">
        <v>216</v>
      </c>
      <c r="E34" s="74">
        <f>F34+G34+H34+I34+J34+K34+L34+M34</f>
        <v>3099.96</v>
      </c>
      <c r="F34" s="452">
        <f>2500+599.96</f>
        <v>3099.96</v>
      </c>
      <c r="G34" s="142"/>
      <c r="H34" s="462"/>
      <c r="I34" s="90"/>
      <c r="J34" s="94"/>
      <c r="K34" s="474"/>
      <c r="L34" s="482"/>
      <c r="M34" s="494"/>
      <c r="N34" s="3"/>
      <c r="O34" s="3"/>
    </row>
    <row r="35" spans="1:15" s="62" customFormat="1" ht="12.75">
      <c r="A35" s="37"/>
      <c r="B35" s="1" t="s">
        <v>292</v>
      </c>
      <c r="C35" s="1"/>
      <c r="D35" s="16" t="s">
        <v>264</v>
      </c>
      <c r="E35" s="74">
        <f>F35+G35+H35+I35+J35+K35+L35+M35</f>
        <v>3224.273</v>
      </c>
      <c r="F35" s="452">
        <f aca="true" t="shared" si="11" ref="F35:M35">F36+F47</f>
        <v>926.3140000000001</v>
      </c>
      <c r="G35" s="142">
        <f t="shared" si="11"/>
        <v>0</v>
      </c>
      <c r="H35" s="462">
        <f t="shared" si="11"/>
        <v>0</v>
      </c>
      <c r="I35" s="90">
        <f t="shared" si="11"/>
        <v>267.543</v>
      </c>
      <c r="J35" s="94">
        <f t="shared" si="11"/>
        <v>0</v>
      </c>
      <c r="K35" s="474">
        <f t="shared" si="11"/>
        <v>0</v>
      </c>
      <c r="L35" s="482">
        <f t="shared" si="11"/>
        <v>2020.416</v>
      </c>
      <c r="M35" s="494">
        <f t="shared" si="11"/>
        <v>10</v>
      </c>
      <c r="N35" s="70"/>
      <c r="O35" s="3"/>
    </row>
    <row r="36" spans="1:15" s="62" customFormat="1" ht="12.75">
      <c r="A36" s="81"/>
      <c r="B36" s="59" t="s">
        <v>84</v>
      </c>
      <c r="C36" s="1"/>
      <c r="D36" s="16" t="s">
        <v>85</v>
      </c>
      <c r="E36" s="74">
        <f>E37+E41+E44</f>
        <v>936.3140000000001</v>
      </c>
      <c r="F36" s="451">
        <f aca="true" t="shared" si="12" ref="F36:M36">F37+F41+F44</f>
        <v>926.3140000000001</v>
      </c>
      <c r="G36" s="141">
        <f t="shared" si="12"/>
        <v>0</v>
      </c>
      <c r="H36" s="461">
        <f t="shared" si="12"/>
        <v>0</v>
      </c>
      <c r="I36" s="89">
        <f t="shared" si="12"/>
        <v>0</v>
      </c>
      <c r="J36" s="93">
        <f t="shared" si="12"/>
        <v>0</v>
      </c>
      <c r="K36" s="471">
        <f t="shared" si="12"/>
        <v>0</v>
      </c>
      <c r="L36" s="481">
        <f t="shared" si="12"/>
        <v>0</v>
      </c>
      <c r="M36" s="491">
        <f t="shared" si="12"/>
        <v>10</v>
      </c>
      <c r="N36" s="70"/>
      <c r="O36" s="3"/>
    </row>
    <row r="37" spans="1:15" s="62" customFormat="1" ht="25.5">
      <c r="A37" s="81"/>
      <c r="B37" s="22"/>
      <c r="C37" s="1" t="s">
        <v>232</v>
      </c>
      <c r="D37" s="16" t="s">
        <v>403</v>
      </c>
      <c r="E37" s="74">
        <f>E38</f>
        <v>250</v>
      </c>
      <c r="F37" s="451">
        <f aca="true" t="shared" si="13" ref="F37:M37">F38</f>
        <v>250</v>
      </c>
      <c r="G37" s="141">
        <f t="shared" si="13"/>
        <v>0</v>
      </c>
      <c r="H37" s="461">
        <f t="shared" si="13"/>
        <v>0</v>
      </c>
      <c r="I37" s="89">
        <f t="shared" si="13"/>
        <v>0</v>
      </c>
      <c r="J37" s="93">
        <f t="shared" si="13"/>
        <v>0</v>
      </c>
      <c r="K37" s="471">
        <f t="shared" si="13"/>
        <v>0</v>
      </c>
      <c r="L37" s="481">
        <f t="shared" si="13"/>
        <v>0</v>
      </c>
      <c r="M37" s="491">
        <f t="shared" si="13"/>
        <v>0</v>
      </c>
      <c r="N37" s="70"/>
      <c r="O37" s="3"/>
    </row>
    <row r="38" spans="1:15" s="62" customFormat="1" ht="14.25" customHeight="1">
      <c r="A38" s="81"/>
      <c r="B38" s="22"/>
      <c r="C38" s="1" t="s">
        <v>191</v>
      </c>
      <c r="D38" s="16" t="s">
        <v>367</v>
      </c>
      <c r="E38" s="74">
        <f>E39+E40</f>
        <v>250</v>
      </c>
      <c r="F38" s="451">
        <f aca="true" t="shared" si="14" ref="F38:M38">F39+F40</f>
        <v>250</v>
      </c>
      <c r="G38" s="141">
        <f t="shared" si="14"/>
        <v>0</v>
      </c>
      <c r="H38" s="461">
        <f t="shared" si="14"/>
        <v>0</v>
      </c>
      <c r="I38" s="89">
        <f t="shared" si="14"/>
        <v>0</v>
      </c>
      <c r="J38" s="93">
        <f t="shared" si="14"/>
        <v>0</v>
      </c>
      <c r="K38" s="471">
        <f t="shared" si="14"/>
        <v>0</v>
      </c>
      <c r="L38" s="481">
        <f t="shared" si="14"/>
        <v>0</v>
      </c>
      <c r="M38" s="491">
        <f t="shared" si="14"/>
        <v>0</v>
      </c>
      <c r="N38" s="70"/>
      <c r="O38" s="3"/>
    </row>
    <row r="39" spans="1:15" s="62" customFormat="1" ht="12.75">
      <c r="A39" s="81"/>
      <c r="B39" s="606" t="s">
        <v>400</v>
      </c>
      <c r="C39" s="1"/>
      <c r="D39" s="16" t="s">
        <v>401</v>
      </c>
      <c r="E39" s="74">
        <f>F39+G39+H39+I39+J39+K39+L39+M39</f>
        <v>-250</v>
      </c>
      <c r="F39" s="452">
        <v>-250</v>
      </c>
      <c r="G39" s="142"/>
      <c r="H39" s="462"/>
      <c r="I39" s="90"/>
      <c r="J39" s="94"/>
      <c r="K39" s="474"/>
      <c r="L39" s="482"/>
      <c r="M39" s="494"/>
      <c r="N39" s="70"/>
      <c r="O39" s="3"/>
    </row>
    <row r="40" spans="1:15" s="62" customFormat="1" ht="12.75">
      <c r="A40" s="81"/>
      <c r="B40" s="607"/>
      <c r="C40" s="1"/>
      <c r="D40" s="16" t="s">
        <v>402</v>
      </c>
      <c r="E40" s="74">
        <f>F40+G40+H40+I40+J40+K40+L40+M40</f>
        <v>500</v>
      </c>
      <c r="F40" s="452">
        <v>500</v>
      </c>
      <c r="G40" s="142"/>
      <c r="H40" s="462"/>
      <c r="I40" s="90"/>
      <c r="J40" s="94"/>
      <c r="K40" s="474"/>
      <c r="L40" s="482"/>
      <c r="M40" s="494"/>
      <c r="N40" s="70"/>
      <c r="O40" s="3"/>
    </row>
    <row r="41" spans="1:15" s="62" customFormat="1" ht="25.5">
      <c r="A41" s="81"/>
      <c r="B41" s="59" t="s">
        <v>293</v>
      </c>
      <c r="C41" s="1"/>
      <c r="D41" s="16" t="s">
        <v>122</v>
      </c>
      <c r="E41" s="74">
        <f aca="true" t="shared" si="15" ref="E41:E159">F41+G41+H41+I41+J41+K41+L41+M41</f>
        <v>361.314</v>
      </c>
      <c r="F41" s="452">
        <f aca="true" t="shared" si="16" ref="F41:L42">F42</f>
        <v>351.314</v>
      </c>
      <c r="G41" s="142">
        <f t="shared" si="16"/>
        <v>0</v>
      </c>
      <c r="H41" s="462">
        <f t="shared" si="16"/>
        <v>0</v>
      </c>
      <c r="I41" s="90">
        <f t="shared" si="16"/>
        <v>0</v>
      </c>
      <c r="J41" s="94">
        <f t="shared" si="16"/>
        <v>0</v>
      </c>
      <c r="K41" s="474">
        <f t="shared" si="16"/>
        <v>0</v>
      </c>
      <c r="L41" s="482">
        <f t="shared" si="16"/>
        <v>0</v>
      </c>
      <c r="M41" s="494">
        <f>M42</f>
        <v>10</v>
      </c>
      <c r="N41" s="70"/>
      <c r="O41" s="3"/>
    </row>
    <row r="42" spans="1:15" s="62" customFormat="1" ht="12.75">
      <c r="A42" s="81"/>
      <c r="B42" s="59"/>
      <c r="C42" s="1" t="s">
        <v>230</v>
      </c>
      <c r="D42" s="16" t="s">
        <v>231</v>
      </c>
      <c r="E42" s="74">
        <f t="shared" si="15"/>
        <v>361.314</v>
      </c>
      <c r="F42" s="452">
        <f t="shared" si="16"/>
        <v>351.314</v>
      </c>
      <c r="G42" s="142">
        <f t="shared" si="16"/>
        <v>0</v>
      </c>
      <c r="H42" s="462">
        <f t="shared" si="16"/>
        <v>0</v>
      </c>
      <c r="I42" s="90">
        <f t="shared" si="16"/>
        <v>0</v>
      </c>
      <c r="J42" s="94">
        <f t="shared" si="16"/>
        <v>0</v>
      </c>
      <c r="K42" s="474">
        <f t="shared" si="16"/>
        <v>0</v>
      </c>
      <c r="L42" s="482">
        <f t="shared" si="16"/>
        <v>0</v>
      </c>
      <c r="M42" s="494">
        <f>M43</f>
        <v>10</v>
      </c>
      <c r="N42" s="70"/>
      <c r="O42" s="3"/>
    </row>
    <row r="43" spans="1:15" s="62" customFormat="1" ht="12.75">
      <c r="A43" s="81"/>
      <c r="B43" s="59"/>
      <c r="C43" s="1" t="s">
        <v>234</v>
      </c>
      <c r="D43" s="16" t="s">
        <v>235</v>
      </c>
      <c r="E43" s="74">
        <f t="shared" si="15"/>
        <v>361.314</v>
      </c>
      <c r="F43" s="452">
        <f>35+316.314</f>
        <v>351.314</v>
      </c>
      <c r="G43" s="142"/>
      <c r="H43" s="462"/>
      <c r="I43" s="90"/>
      <c r="J43" s="94"/>
      <c r="K43" s="474"/>
      <c r="L43" s="482"/>
      <c r="M43" s="494">
        <v>10</v>
      </c>
      <c r="N43" s="70"/>
      <c r="O43" s="3"/>
    </row>
    <row r="44" spans="1:15" s="62" customFormat="1" ht="25.5">
      <c r="A44" s="81"/>
      <c r="B44" s="59" t="s">
        <v>1119</v>
      </c>
      <c r="C44" s="1"/>
      <c r="D44" s="16" t="s">
        <v>1120</v>
      </c>
      <c r="E44" s="74">
        <f>E45</f>
        <v>325</v>
      </c>
      <c r="F44" s="451">
        <f aca="true" t="shared" si="17" ref="F44:M45">F45</f>
        <v>325</v>
      </c>
      <c r="G44" s="141">
        <f t="shared" si="17"/>
        <v>0</v>
      </c>
      <c r="H44" s="461">
        <f t="shared" si="17"/>
        <v>0</v>
      </c>
      <c r="I44" s="89">
        <f t="shared" si="17"/>
        <v>0</v>
      </c>
      <c r="J44" s="93">
        <f t="shared" si="17"/>
        <v>0</v>
      </c>
      <c r="K44" s="471">
        <f t="shared" si="17"/>
        <v>0</v>
      </c>
      <c r="L44" s="481">
        <f t="shared" si="17"/>
        <v>0</v>
      </c>
      <c r="M44" s="491">
        <f t="shared" si="17"/>
        <v>0</v>
      </c>
      <c r="N44" s="70"/>
      <c r="O44" s="3"/>
    </row>
    <row r="45" spans="1:15" s="62" customFormat="1" ht="25.5">
      <c r="A45" s="81"/>
      <c r="B45" s="59"/>
      <c r="C45" s="1" t="s">
        <v>227</v>
      </c>
      <c r="D45" s="16" t="s">
        <v>331</v>
      </c>
      <c r="E45" s="74">
        <f>E46</f>
        <v>325</v>
      </c>
      <c r="F45" s="451">
        <f t="shared" si="17"/>
        <v>325</v>
      </c>
      <c r="G45" s="141">
        <f t="shared" si="17"/>
        <v>0</v>
      </c>
      <c r="H45" s="461">
        <f t="shared" si="17"/>
        <v>0</v>
      </c>
      <c r="I45" s="89">
        <f t="shared" si="17"/>
        <v>0</v>
      </c>
      <c r="J45" s="93">
        <f t="shared" si="17"/>
        <v>0</v>
      </c>
      <c r="K45" s="471">
        <f t="shared" si="17"/>
        <v>0</v>
      </c>
      <c r="L45" s="481">
        <f t="shared" si="17"/>
        <v>0</v>
      </c>
      <c r="M45" s="491">
        <f t="shared" si="17"/>
        <v>0</v>
      </c>
      <c r="N45" s="70"/>
      <c r="O45" s="3"/>
    </row>
    <row r="46" spans="1:15" s="62" customFormat="1" ht="12.75">
      <c r="A46" s="81"/>
      <c r="B46" s="59"/>
      <c r="C46" s="1" t="s">
        <v>121</v>
      </c>
      <c r="D46" s="16" t="s">
        <v>229</v>
      </c>
      <c r="E46" s="74">
        <f t="shared" si="15"/>
        <v>325</v>
      </c>
      <c r="F46" s="452">
        <v>325</v>
      </c>
      <c r="G46" s="142"/>
      <c r="H46" s="462"/>
      <c r="I46" s="90"/>
      <c r="J46" s="94"/>
      <c r="K46" s="474"/>
      <c r="L46" s="482"/>
      <c r="M46" s="494"/>
      <c r="N46" s="70"/>
      <c r="O46" s="3"/>
    </row>
    <row r="47" spans="1:15" s="62" customFormat="1" ht="25.5">
      <c r="A47" s="81"/>
      <c r="B47" s="59" t="s">
        <v>303</v>
      </c>
      <c r="C47" s="1"/>
      <c r="D47" s="16" t="s">
        <v>140</v>
      </c>
      <c r="E47" s="74">
        <f t="shared" si="15"/>
        <v>2287.959</v>
      </c>
      <c r="F47" s="452">
        <f>F48</f>
        <v>0</v>
      </c>
      <c r="G47" s="142">
        <f aca="true" t="shared" si="18" ref="G47:M48">G48</f>
        <v>0</v>
      </c>
      <c r="H47" s="462">
        <f t="shared" si="18"/>
        <v>0</v>
      </c>
      <c r="I47" s="90">
        <f t="shared" si="18"/>
        <v>267.543</v>
      </c>
      <c r="J47" s="94">
        <f t="shared" si="18"/>
        <v>0</v>
      </c>
      <c r="K47" s="474">
        <f t="shared" si="18"/>
        <v>0</v>
      </c>
      <c r="L47" s="482">
        <f t="shared" si="18"/>
        <v>2020.416</v>
      </c>
      <c r="M47" s="494">
        <f t="shared" si="18"/>
        <v>0</v>
      </c>
      <c r="N47" s="3"/>
      <c r="O47" s="3"/>
    </row>
    <row r="48" spans="1:15" s="62" customFormat="1" ht="12.75">
      <c r="A48" s="81"/>
      <c r="B48" s="59"/>
      <c r="C48" s="1" t="s">
        <v>71</v>
      </c>
      <c r="D48" s="16" t="s">
        <v>38</v>
      </c>
      <c r="E48" s="74">
        <f t="shared" si="15"/>
        <v>2287.959</v>
      </c>
      <c r="F48" s="452">
        <f>F49</f>
        <v>0</v>
      </c>
      <c r="G48" s="142">
        <f t="shared" si="18"/>
        <v>0</v>
      </c>
      <c r="H48" s="462">
        <f t="shared" si="18"/>
        <v>0</v>
      </c>
      <c r="I48" s="90">
        <f t="shared" si="18"/>
        <v>267.543</v>
      </c>
      <c r="J48" s="94">
        <f t="shared" si="18"/>
        <v>0</v>
      </c>
      <c r="K48" s="474">
        <f t="shared" si="18"/>
        <v>0</v>
      </c>
      <c r="L48" s="482">
        <f t="shared" si="18"/>
        <v>2020.416</v>
      </c>
      <c r="M48" s="494">
        <f t="shared" si="18"/>
        <v>0</v>
      </c>
      <c r="N48" s="3"/>
      <c r="O48" s="3"/>
    </row>
    <row r="49" spans="1:15" s="62" customFormat="1" ht="12.75">
      <c r="A49" s="81"/>
      <c r="B49" s="59"/>
      <c r="C49" s="1" t="s">
        <v>120</v>
      </c>
      <c r="D49" s="16" t="s">
        <v>100</v>
      </c>
      <c r="E49" s="74">
        <f t="shared" si="15"/>
        <v>2287.959</v>
      </c>
      <c r="F49" s="452"/>
      <c r="G49" s="142"/>
      <c r="H49" s="462"/>
      <c r="I49" s="90">
        <v>267.543</v>
      </c>
      <c r="J49" s="94"/>
      <c r="K49" s="474"/>
      <c r="L49" s="482">
        <v>2020.416</v>
      </c>
      <c r="M49" s="494"/>
      <c r="N49" s="3"/>
      <c r="O49" s="3"/>
    </row>
    <row r="50" spans="1:15" s="62" customFormat="1" ht="12.75">
      <c r="A50" s="81"/>
      <c r="B50" s="59" t="s">
        <v>66</v>
      </c>
      <c r="C50" s="1"/>
      <c r="D50" s="2" t="s">
        <v>67</v>
      </c>
      <c r="E50" s="74">
        <f t="shared" si="15"/>
        <v>-309.4</v>
      </c>
      <c r="F50" s="452">
        <f>F51</f>
        <v>0</v>
      </c>
      <c r="G50" s="142">
        <f aca="true" t="shared" si="19" ref="G50:M51">G51</f>
        <v>0</v>
      </c>
      <c r="H50" s="462">
        <f t="shared" si="19"/>
        <v>0</v>
      </c>
      <c r="I50" s="90">
        <f>I51</f>
        <v>-309.4</v>
      </c>
      <c r="J50" s="94">
        <f t="shared" si="19"/>
        <v>0</v>
      </c>
      <c r="K50" s="474">
        <f t="shared" si="19"/>
        <v>0</v>
      </c>
      <c r="L50" s="482">
        <f t="shared" si="19"/>
        <v>0</v>
      </c>
      <c r="M50" s="494">
        <f t="shared" si="19"/>
        <v>0</v>
      </c>
      <c r="N50" s="3"/>
      <c r="O50" s="3"/>
    </row>
    <row r="51" spans="1:15" s="62" customFormat="1" ht="25.5">
      <c r="A51" s="81"/>
      <c r="B51" s="59" t="s">
        <v>236</v>
      </c>
      <c r="C51" s="1"/>
      <c r="D51" s="2" t="s">
        <v>237</v>
      </c>
      <c r="E51" s="74">
        <f t="shared" si="15"/>
        <v>-309.4</v>
      </c>
      <c r="F51" s="452">
        <f>F52</f>
        <v>0</v>
      </c>
      <c r="G51" s="142">
        <f t="shared" si="19"/>
        <v>0</v>
      </c>
      <c r="H51" s="462">
        <f t="shared" si="19"/>
        <v>0</v>
      </c>
      <c r="I51" s="90">
        <f t="shared" si="19"/>
        <v>-309.4</v>
      </c>
      <c r="J51" s="94">
        <f t="shared" si="19"/>
        <v>0</v>
      </c>
      <c r="K51" s="474">
        <f t="shared" si="19"/>
        <v>0</v>
      </c>
      <c r="L51" s="482">
        <f t="shared" si="19"/>
        <v>0</v>
      </c>
      <c r="M51" s="494">
        <f t="shared" si="19"/>
        <v>0</v>
      </c>
      <c r="N51" s="3"/>
      <c r="O51" s="3"/>
    </row>
    <row r="52" spans="1:15" s="62" customFormat="1" ht="38.25">
      <c r="A52" s="81"/>
      <c r="B52" s="59" t="s">
        <v>192</v>
      </c>
      <c r="C52" s="1"/>
      <c r="D52" s="2" t="s">
        <v>144</v>
      </c>
      <c r="E52" s="74">
        <f t="shared" si="15"/>
        <v>-309.4</v>
      </c>
      <c r="F52" s="452">
        <f>F53+F55</f>
        <v>0</v>
      </c>
      <c r="G52" s="142">
        <f aca="true" t="shared" si="20" ref="G52:M52">G53+G55</f>
        <v>0</v>
      </c>
      <c r="H52" s="462">
        <f t="shared" si="20"/>
        <v>0</v>
      </c>
      <c r="I52" s="90">
        <f t="shared" si="20"/>
        <v>-309.4</v>
      </c>
      <c r="J52" s="94">
        <f t="shared" si="20"/>
        <v>0</v>
      </c>
      <c r="K52" s="474">
        <f t="shared" si="20"/>
        <v>0</v>
      </c>
      <c r="L52" s="482">
        <f t="shared" si="20"/>
        <v>0</v>
      </c>
      <c r="M52" s="494">
        <f t="shared" si="20"/>
        <v>0</v>
      </c>
      <c r="N52" s="3"/>
      <c r="O52" s="3"/>
    </row>
    <row r="53" spans="1:15" s="62" customFormat="1" ht="25.5" customHeight="1">
      <c r="A53" s="81"/>
      <c r="B53" s="59"/>
      <c r="C53" s="1" t="s">
        <v>227</v>
      </c>
      <c r="D53" s="2" t="s">
        <v>228</v>
      </c>
      <c r="E53" s="74">
        <f t="shared" si="15"/>
        <v>-196.6</v>
      </c>
      <c r="F53" s="452">
        <f aca="true" t="shared" si="21" ref="F53:M53">F54</f>
        <v>0</v>
      </c>
      <c r="G53" s="142">
        <f t="shared" si="21"/>
        <v>0</v>
      </c>
      <c r="H53" s="462">
        <f t="shared" si="21"/>
        <v>0</v>
      </c>
      <c r="I53" s="90">
        <f t="shared" si="21"/>
        <v>-196.6</v>
      </c>
      <c r="J53" s="94">
        <f t="shared" si="21"/>
        <v>0</v>
      </c>
      <c r="K53" s="474">
        <f t="shared" si="21"/>
        <v>0</v>
      </c>
      <c r="L53" s="482">
        <f t="shared" si="21"/>
        <v>0</v>
      </c>
      <c r="M53" s="494">
        <f t="shared" si="21"/>
        <v>0</v>
      </c>
      <c r="N53" s="3"/>
      <c r="O53" s="3"/>
    </row>
    <row r="54" spans="1:15" s="62" customFormat="1" ht="12.75">
      <c r="A54" s="81"/>
      <c r="B54" s="59"/>
      <c r="C54" s="1" t="s">
        <v>121</v>
      </c>
      <c r="D54" s="2" t="s">
        <v>229</v>
      </c>
      <c r="E54" s="74">
        <f t="shared" si="15"/>
        <v>-196.6</v>
      </c>
      <c r="F54" s="452"/>
      <c r="G54" s="142"/>
      <c r="H54" s="462"/>
      <c r="I54" s="90">
        <v>-196.6</v>
      </c>
      <c r="J54" s="94"/>
      <c r="K54" s="474"/>
      <c r="L54" s="482"/>
      <c r="M54" s="494"/>
      <c r="N54" s="3"/>
      <c r="O54" s="3"/>
    </row>
    <row r="55" spans="1:15" s="62" customFormat="1" ht="12.75">
      <c r="A55" s="81"/>
      <c r="B55" s="59"/>
      <c r="C55" s="1" t="s">
        <v>210</v>
      </c>
      <c r="D55" s="2" t="s">
        <v>211</v>
      </c>
      <c r="E55" s="74">
        <f t="shared" si="15"/>
        <v>-112.8</v>
      </c>
      <c r="F55" s="452">
        <f aca="true" t="shared" si="22" ref="F55:M55">F56</f>
        <v>0</v>
      </c>
      <c r="G55" s="142">
        <f t="shared" si="22"/>
        <v>0</v>
      </c>
      <c r="H55" s="462">
        <f t="shared" si="22"/>
        <v>0</v>
      </c>
      <c r="I55" s="90">
        <f t="shared" si="22"/>
        <v>-112.8</v>
      </c>
      <c r="J55" s="94">
        <f t="shared" si="22"/>
        <v>0</v>
      </c>
      <c r="K55" s="474">
        <f t="shared" si="22"/>
        <v>0</v>
      </c>
      <c r="L55" s="482">
        <f t="shared" si="22"/>
        <v>0</v>
      </c>
      <c r="M55" s="494">
        <f t="shared" si="22"/>
        <v>0</v>
      </c>
      <c r="N55" s="3"/>
      <c r="O55" s="3"/>
    </row>
    <row r="56" spans="1:15" s="62" customFormat="1" ht="12.75">
      <c r="A56" s="81"/>
      <c r="B56" s="59"/>
      <c r="C56" s="1" t="s">
        <v>8</v>
      </c>
      <c r="D56" s="2" t="s">
        <v>216</v>
      </c>
      <c r="E56" s="74">
        <f t="shared" si="15"/>
        <v>-112.8</v>
      </c>
      <c r="F56" s="452"/>
      <c r="G56" s="142"/>
      <c r="H56" s="462"/>
      <c r="I56" s="90">
        <v>-112.8</v>
      </c>
      <c r="J56" s="94"/>
      <c r="K56" s="474"/>
      <c r="L56" s="482"/>
      <c r="M56" s="494"/>
      <c r="N56" s="3"/>
      <c r="O56" s="3"/>
    </row>
    <row r="57" spans="1:15" s="62" customFormat="1" ht="12.75">
      <c r="A57" s="81"/>
      <c r="B57" s="59" t="s">
        <v>304</v>
      </c>
      <c r="C57" s="1"/>
      <c r="D57" s="16" t="s">
        <v>77</v>
      </c>
      <c r="E57" s="74">
        <f t="shared" si="15"/>
        <v>83.48400000000001</v>
      </c>
      <c r="F57" s="452">
        <f>F58</f>
        <v>0</v>
      </c>
      <c r="G57" s="142">
        <f aca="true" t="shared" si="23" ref="G57:M59">G58</f>
        <v>0</v>
      </c>
      <c r="H57" s="462">
        <f t="shared" si="23"/>
        <v>0</v>
      </c>
      <c r="I57" s="90">
        <f t="shared" si="23"/>
        <v>20.454</v>
      </c>
      <c r="J57" s="94">
        <f t="shared" si="23"/>
        <v>0</v>
      </c>
      <c r="K57" s="474">
        <f t="shared" si="23"/>
        <v>0</v>
      </c>
      <c r="L57" s="482">
        <f t="shared" si="23"/>
        <v>63.03</v>
      </c>
      <c r="M57" s="494">
        <f t="shared" si="23"/>
        <v>0</v>
      </c>
      <c r="N57" s="3"/>
      <c r="O57" s="3"/>
    </row>
    <row r="58" spans="1:15" s="62" customFormat="1" ht="25.5">
      <c r="A58" s="81"/>
      <c r="B58" s="59" t="s">
        <v>305</v>
      </c>
      <c r="C58" s="1"/>
      <c r="D58" s="16" t="s">
        <v>168</v>
      </c>
      <c r="E58" s="74">
        <f t="shared" si="15"/>
        <v>83.48400000000001</v>
      </c>
      <c r="F58" s="452">
        <f>F59</f>
        <v>0</v>
      </c>
      <c r="G58" s="142">
        <f t="shared" si="23"/>
        <v>0</v>
      </c>
      <c r="H58" s="462">
        <f t="shared" si="23"/>
        <v>0</v>
      </c>
      <c r="I58" s="90">
        <f t="shared" si="23"/>
        <v>20.454</v>
      </c>
      <c r="J58" s="94">
        <f t="shared" si="23"/>
        <v>0</v>
      </c>
      <c r="K58" s="474">
        <f t="shared" si="23"/>
        <v>0</v>
      </c>
      <c r="L58" s="482">
        <f t="shared" si="23"/>
        <v>63.03</v>
      </c>
      <c r="M58" s="494">
        <f t="shared" si="23"/>
        <v>0</v>
      </c>
      <c r="N58" s="3"/>
      <c r="O58" s="3"/>
    </row>
    <row r="59" spans="1:15" s="62" customFormat="1" ht="12.75">
      <c r="A59" s="81"/>
      <c r="B59" s="59"/>
      <c r="C59" s="1" t="s">
        <v>71</v>
      </c>
      <c r="D59" s="16" t="s">
        <v>38</v>
      </c>
      <c r="E59" s="74">
        <f t="shared" si="15"/>
        <v>83.48400000000001</v>
      </c>
      <c r="F59" s="452">
        <f>F60</f>
        <v>0</v>
      </c>
      <c r="G59" s="142">
        <f t="shared" si="23"/>
        <v>0</v>
      </c>
      <c r="H59" s="462">
        <f t="shared" si="23"/>
        <v>0</v>
      </c>
      <c r="I59" s="90">
        <f t="shared" si="23"/>
        <v>20.454</v>
      </c>
      <c r="J59" s="94">
        <f t="shared" si="23"/>
        <v>0</v>
      </c>
      <c r="K59" s="474">
        <f t="shared" si="23"/>
        <v>0</v>
      </c>
      <c r="L59" s="482">
        <f t="shared" si="23"/>
        <v>63.03</v>
      </c>
      <c r="M59" s="494">
        <f t="shared" si="23"/>
        <v>0</v>
      </c>
      <c r="N59" s="3"/>
      <c r="O59" s="3"/>
    </row>
    <row r="60" spans="1:15" s="62" customFormat="1" ht="12.75">
      <c r="A60" s="81"/>
      <c r="B60" s="59"/>
      <c r="C60" s="1" t="s">
        <v>120</v>
      </c>
      <c r="D60" s="16" t="s">
        <v>100</v>
      </c>
      <c r="E60" s="74">
        <f t="shared" si="15"/>
        <v>83.48400000000001</v>
      </c>
      <c r="F60" s="452"/>
      <c r="G60" s="142"/>
      <c r="H60" s="462"/>
      <c r="I60" s="90">
        <v>20.454</v>
      </c>
      <c r="J60" s="94"/>
      <c r="K60" s="474"/>
      <c r="L60" s="482">
        <v>63.03</v>
      </c>
      <c r="M60" s="494"/>
      <c r="N60" s="3"/>
      <c r="O60" s="3"/>
    </row>
    <row r="61" spans="1:15" s="62" customFormat="1" ht="12.75">
      <c r="A61" s="81"/>
      <c r="B61" s="59" t="s">
        <v>37</v>
      </c>
      <c r="C61" s="1"/>
      <c r="D61" s="16" t="s">
        <v>213</v>
      </c>
      <c r="E61" s="74">
        <f>E62</f>
        <v>33.546</v>
      </c>
      <c r="F61" s="451">
        <f aca="true" t="shared" si="24" ref="F61:M61">F62</f>
        <v>0</v>
      </c>
      <c r="G61" s="141">
        <f t="shared" si="24"/>
        <v>0</v>
      </c>
      <c r="H61" s="461">
        <f t="shared" si="24"/>
        <v>0</v>
      </c>
      <c r="I61" s="89">
        <f t="shared" si="24"/>
        <v>0</v>
      </c>
      <c r="J61" s="93">
        <f t="shared" si="24"/>
        <v>0</v>
      </c>
      <c r="K61" s="471">
        <f t="shared" si="24"/>
        <v>0</v>
      </c>
      <c r="L61" s="481">
        <f t="shared" si="24"/>
        <v>33.546</v>
      </c>
      <c r="M61" s="491">
        <f t="shared" si="24"/>
        <v>0</v>
      </c>
      <c r="N61" s="3"/>
      <c r="O61" s="3"/>
    </row>
    <row r="62" spans="1:15" s="62" customFormat="1" ht="25.5">
      <c r="A62" s="81"/>
      <c r="B62" s="59" t="s">
        <v>39</v>
      </c>
      <c r="C62" s="1"/>
      <c r="D62" s="16" t="s">
        <v>40</v>
      </c>
      <c r="E62" s="74">
        <f>E63+E66</f>
        <v>33.546</v>
      </c>
      <c r="F62" s="451">
        <f aca="true" t="shared" si="25" ref="F62:M62">F63+F66</f>
        <v>0</v>
      </c>
      <c r="G62" s="141">
        <f t="shared" si="25"/>
        <v>0</v>
      </c>
      <c r="H62" s="461">
        <f t="shared" si="25"/>
        <v>0</v>
      </c>
      <c r="I62" s="89">
        <f t="shared" si="25"/>
        <v>0</v>
      </c>
      <c r="J62" s="93">
        <f t="shared" si="25"/>
        <v>0</v>
      </c>
      <c r="K62" s="471">
        <f t="shared" si="25"/>
        <v>0</v>
      </c>
      <c r="L62" s="481">
        <f t="shared" si="25"/>
        <v>33.546</v>
      </c>
      <c r="M62" s="491">
        <f t="shared" si="25"/>
        <v>0</v>
      </c>
      <c r="N62" s="3"/>
      <c r="O62" s="3"/>
    </row>
    <row r="63" spans="1:15" s="62" customFormat="1" ht="25.5">
      <c r="A63" s="81"/>
      <c r="B63" s="59" t="s">
        <v>95</v>
      </c>
      <c r="C63" s="1"/>
      <c r="D63" s="16" t="s">
        <v>145</v>
      </c>
      <c r="E63" s="74">
        <f>E64</f>
        <v>4.446</v>
      </c>
      <c r="F63" s="451">
        <f aca="true" t="shared" si="26" ref="F63:M64">F64</f>
        <v>0</v>
      </c>
      <c r="G63" s="141">
        <f t="shared" si="26"/>
        <v>0</v>
      </c>
      <c r="H63" s="461">
        <f t="shared" si="26"/>
        <v>0</v>
      </c>
      <c r="I63" s="89">
        <f t="shared" si="26"/>
        <v>0</v>
      </c>
      <c r="J63" s="93">
        <f t="shared" si="26"/>
        <v>0</v>
      </c>
      <c r="K63" s="471">
        <f t="shared" si="26"/>
        <v>0</v>
      </c>
      <c r="L63" s="481">
        <f t="shared" si="26"/>
        <v>4.446</v>
      </c>
      <c r="M63" s="491">
        <f t="shared" si="26"/>
        <v>0</v>
      </c>
      <c r="N63" s="3"/>
      <c r="O63" s="3"/>
    </row>
    <row r="64" spans="1:15" s="62" customFormat="1" ht="12.75">
      <c r="A64" s="81"/>
      <c r="B64" s="59"/>
      <c r="C64" s="1" t="s">
        <v>210</v>
      </c>
      <c r="D64" s="16" t="s">
        <v>211</v>
      </c>
      <c r="E64" s="74">
        <f>E65</f>
        <v>4.446</v>
      </c>
      <c r="F64" s="451">
        <f t="shared" si="26"/>
        <v>0</v>
      </c>
      <c r="G64" s="141">
        <f t="shared" si="26"/>
        <v>0</v>
      </c>
      <c r="H64" s="461">
        <f t="shared" si="26"/>
        <v>0</v>
      </c>
      <c r="I64" s="89">
        <f t="shared" si="26"/>
        <v>0</v>
      </c>
      <c r="J64" s="93">
        <f t="shared" si="26"/>
        <v>0</v>
      </c>
      <c r="K64" s="471">
        <f t="shared" si="26"/>
        <v>0</v>
      </c>
      <c r="L64" s="481">
        <f t="shared" si="26"/>
        <v>4.446</v>
      </c>
      <c r="M64" s="491">
        <f t="shared" si="26"/>
        <v>0</v>
      </c>
      <c r="N64" s="3"/>
      <c r="O64" s="3"/>
    </row>
    <row r="65" spans="1:15" s="62" customFormat="1" ht="12.75">
      <c r="A65" s="81"/>
      <c r="B65" s="59"/>
      <c r="C65" s="1" t="s">
        <v>8</v>
      </c>
      <c r="D65" s="16" t="s">
        <v>216</v>
      </c>
      <c r="E65" s="74">
        <f t="shared" si="15"/>
        <v>4.446</v>
      </c>
      <c r="F65" s="451"/>
      <c r="G65" s="141"/>
      <c r="H65" s="461"/>
      <c r="I65" s="89"/>
      <c r="J65" s="93"/>
      <c r="K65" s="471"/>
      <c r="L65" s="481">
        <v>4.446</v>
      </c>
      <c r="M65" s="491"/>
      <c r="N65" s="3"/>
      <c r="O65" s="3"/>
    </row>
    <row r="66" spans="1:15" s="62" customFormat="1" ht="25.5">
      <c r="A66" s="81"/>
      <c r="B66" s="59" t="s">
        <v>271</v>
      </c>
      <c r="C66" s="1"/>
      <c r="D66" s="16" t="s">
        <v>146</v>
      </c>
      <c r="E66" s="74">
        <f>E67</f>
        <v>29.1</v>
      </c>
      <c r="F66" s="451">
        <f aca="true" t="shared" si="27" ref="F66:M67">F67</f>
        <v>0</v>
      </c>
      <c r="G66" s="141">
        <f t="shared" si="27"/>
        <v>0</v>
      </c>
      <c r="H66" s="461">
        <f t="shared" si="27"/>
        <v>0</v>
      </c>
      <c r="I66" s="89">
        <f t="shared" si="27"/>
        <v>0</v>
      </c>
      <c r="J66" s="93">
        <f t="shared" si="27"/>
        <v>0</v>
      </c>
      <c r="K66" s="471">
        <f t="shared" si="27"/>
        <v>0</v>
      </c>
      <c r="L66" s="481">
        <f t="shared" si="27"/>
        <v>29.1</v>
      </c>
      <c r="M66" s="491">
        <f t="shared" si="27"/>
        <v>0</v>
      </c>
      <c r="N66" s="3"/>
      <c r="O66" s="3"/>
    </row>
    <row r="67" spans="1:15" s="62" customFormat="1" ht="12.75">
      <c r="A67" s="81"/>
      <c r="B67" s="59"/>
      <c r="C67" s="1" t="s">
        <v>210</v>
      </c>
      <c r="D67" s="16" t="s">
        <v>211</v>
      </c>
      <c r="E67" s="74">
        <f>E68</f>
        <v>29.1</v>
      </c>
      <c r="F67" s="451">
        <f t="shared" si="27"/>
        <v>0</v>
      </c>
      <c r="G67" s="141">
        <f t="shared" si="27"/>
        <v>0</v>
      </c>
      <c r="H67" s="461">
        <f t="shared" si="27"/>
        <v>0</v>
      </c>
      <c r="I67" s="89">
        <f t="shared" si="27"/>
        <v>0</v>
      </c>
      <c r="J67" s="93">
        <f t="shared" si="27"/>
        <v>0</v>
      </c>
      <c r="K67" s="471">
        <f t="shared" si="27"/>
        <v>0</v>
      </c>
      <c r="L67" s="481">
        <f t="shared" si="27"/>
        <v>29.1</v>
      </c>
      <c r="M67" s="491">
        <f t="shared" si="27"/>
        <v>0</v>
      </c>
      <c r="N67" s="3"/>
      <c r="O67" s="3"/>
    </row>
    <row r="68" spans="1:15" s="62" customFormat="1" ht="12.75">
      <c r="A68" s="81"/>
      <c r="B68" s="59"/>
      <c r="C68" s="1" t="s">
        <v>8</v>
      </c>
      <c r="D68" s="16" t="s">
        <v>216</v>
      </c>
      <c r="E68" s="74">
        <f t="shared" si="15"/>
        <v>29.1</v>
      </c>
      <c r="F68" s="451"/>
      <c r="G68" s="141"/>
      <c r="H68" s="461"/>
      <c r="I68" s="89"/>
      <c r="J68" s="93"/>
      <c r="K68" s="471"/>
      <c r="L68" s="481">
        <v>29.1</v>
      </c>
      <c r="M68" s="491"/>
      <c r="N68" s="3"/>
      <c r="O68" s="3"/>
    </row>
    <row r="69" spans="1:15" s="67" customFormat="1" ht="12.75">
      <c r="A69" s="37" t="s">
        <v>238</v>
      </c>
      <c r="B69" s="10"/>
      <c r="C69" s="10"/>
      <c r="D69" s="15" t="s">
        <v>239</v>
      </c>
      <c r="E69" s="425">
        <f t="shared" si="15"/>
        <v>4393.620999999999</v>
      </c>
      <c r="F69" s="453">
        <f aca="true" t="shared" si="28" ref="F69:M69">F70</f>
        <v>293.9</v>
      </c>
      <c r="G69" s="143">
        <f t="shared" si="28"/>
        <v>4070</v>
      </c>
      <c r="H69" s="463">
        <f t="shared" si="28"/>
        <v>0</v>
      </c>
      <c r="I69" s="91">
        <f t="shared" si="28"/>
        <v>0</v>
      </c>
      <c r="J69" s="95">
        <f t="shared" si="28"/>
        <v>0</v>
      </c>
      <c r="K69" s="475">
        <f t="shared" si="28"/>
        <v>0</v>
      </c>
      <c r="L69" s="483">
        <f t="shared" si="28"/>
        <v>0</v>
      </c>
      <c r="M69" s="495">
        <f t="shared" si="28"/>
        <v>29.721</v>
      </c>
      <c r="N69" s="4"/>
      <c r="O69" s="4"/>
    </row>
    <row r="70" spans="1:15" s="62" customFormat="1" ht="25.5">
      <c r="A70" s="9" t="s">
        <v>123</v>
      </c>
      <c r="B70" s="1"/>
      <c r="C70" s="1"/>
      <c r="D70" s="16" t="s">
        <v>240</v>
      </c>
      <c r="E70" s="74">
        <f>E71+E76</f>
        <v>4393.621</v>
      </c>
      <c r="F70" s="451">
        <f aca="true" t="shared" si="29" ref="F70:M70">F71+F76</f>
        <v>293.9</v>
      </c>
      <c r="G70" s="141">
        <f t="shared" si="29"/>
        <v>4070</v>
      </c>
      <c r="H70" s="461">
        <f t="shared" si="29"/>
        <v>0</v>
      </c>
      <c r="I70" s="89">
        <f t="shared" si="29"/>
        <v>0</v>
      </c>
      <c r="J70" s="93">
        <f t="shared" si="29"/>
        <v>0</v>
      </c>
      <c r="K70" s="471">
        <f t="shared" si="29"/>
        <v>0</v>
      </c>
      <c r="L70" s="481">
        <f t="shared" si="29"/>
        <v>0</v>
      </c>
      <c r="M70" s="491">
        <f t="shared" si="29"/>
        <v>29.721</v>
      </c>
      <c r="N70" s="3"/>
      <c r="O70" s="3"/>
    </row>
    <row r="71" spans="1:15" s="62" customFormat="1" ht="25.5">
      <c r="A71" s="9"/>
      <c r="B71" s="1" t="s">
        <v>332</v>
      </c>
      <c r="C71" s="1"/>
      <c r="D71" s="16" t="s">
        <v>335</v>
      </c>
      <c r="E71" s="74">
        <f>E72</f>
        <v>323.621</v>
      </c>
      <c r="F71" s="451">
        <f aca="true" t="shared" si="30" ref="F71:M74">F72</f>
        <v>293.9</v>
      </c>
      <c r="G71" s="141">
        <f t="shared" si="30"/>
        <v>0</v>
      </c>
      <c r="H71" s="461">
        <f t="shared" si="30"/>
        <v>0</v>
      </c>
      <c r="I71" s="89">
        <f t="shared" si="30"/>
        <v>0</v>
      </c>
      <c r="J71" s="93">
        <f t="shared" si="30"/>
        <v>0</v>
      </c>
      <c r="K71" s="471">
        <f t="shared" si="30"/>
        <v>0</v>
      </c>
      <c r="L71" s="481">
        <f t="shared" si="30"/>
        <v>0</v>
      </c>
      <c r="M71" s="491">
        <f t="shared" si="30"/>
        <v>29.721</v>
      </c>
      <c r="N71" s="3"/>
      <c r="O71" s="3"/>
    </row>
    <row r="72" spans="1:15" s="62" customFormat="1" ht="12.75">
      <c r="A72" s="9"/>
      <c r="B72" s="1" t="s">
        <v>333</v>
      </c>
      <c r="C72" s="1"/>
      <c r="D72" s="16" t="s">
        <v>114</v>
      </c>
      <c r="E72" s="74">
        <f>E73</f>
        <v>323.621</v>
      </c>
      <c r="F72" s="451">
        <f t="shared" si="30"/>
        <v>293.9</v>
      </c>
      <c r="G72" s="141">
        <f t="shared" si="30"/>
        <v>0</v>
      </c>
      <c r="H72" s="461">
        <f t="shared" si="30"/>
        <v>0</v>
      </c>
      <c r="I72" s="89">
        <f t="shared" si="30"/>
        <v>0</v>
      </c>
      <c r="J72" s="93">
        <f t="shared" si="30"/>
        <v>0</v>
      </c>
      <c r="K72" s="471">
        <f t="shared" si="30"/>
        <v>0</v>
      </c>
      <c r="L72" s="481">
        <f t="shared" si="30"/>
        <v>0</v>
      </c>
      <c r="M72" s="491">
        <f t="shared" si="30"/>
        <v>29.721</v>
      </c>
      <c r="N72" s="3"/>
      <c r="O72" s="3"/>
    </row>
    <row r="73" spans="1:15" s="62" customFormat="1" ht="12.75">
      <c r="A73" s="9"/>
      <c r="B73" s="1" t="s">
        <v>334</v>
      </c>
      <c r="C73" s="1"/>
      <c r="D73" s="16" t="s">
        <v>115</v>
      </c>
      <c r="E73" s="74">
        <f>E74</f>
        <v>323.621</v>
      </c>
      <c r="F73" s="451">
        <f t="shared" si="30"/>
        <v>293.9</v>
      </c>
      <c r="G73" s="141">
        <f t="shared" si="30"/>
        <v>0</v>
      </c>
      <c r="H73" s="461">
        <f t="shared" si="30"/>
        <v>0</v>
      </c>
      <c r="I73" s="89">
        <f t="shared" si="30"/>
        <v>0</v>
      </c>
      <c r="J73" s="93">
        <f t="shared" si="30"/>
        <v>0</v>
      </c>
      <c r="K73" s="471">
        <f t="shared" si="30"/>
        <v>0</v>
      </c>
      <c r="L73" s="481">
        <f t="shared" si="30"/>
        <v>0</v>
      </c>
      <c r="M73" s="491">
        <f t="shared" si="30"/>
        <v>29.721</v>
      </c>
      <c r="N73" s="3"/>
      <c r="O73" s="3"/>
    </row>
    <row r="74" spans="1:15" s="62" customFormat="1" ht="12.75">
      <c r="A74" s="9"/>
      <c r="B74" s="1"/>
      <c r="C74" s="1" t="s">
        <v>210</v>
      </c>
      <c r="D74" s="16" t="s">
        <v>211</v>
      </c>
      <c r="E74" s="74">
        <f>E75</f>
        <v>323.621</v>
      </c>
      <c r="F74" s="451">
        <f t="shared" si="30"/>
        <v>293.9</v>
      </c>
      <c r="G74" s="141">
        <f t="shared" si="30"/>
        <v>0</v>
      </c>
      <c r="H74" s="461">
        <f t="shared" si="30"/>
        <v>0</v>
      </c>
      <c r="I74" s="89">
        <f t="shared" si="30"/>
        <v>0</v>
      </c>
      <c r="J74" s="93">
        <f t="shared" si="30"/>
        <v>0</v>
      </c>
      <c r="K74" s="471">
        <f t="shared" si="30"/>
        <v>0</v>
      </c>
      <c r="L74" s="481">
        <f t="shared" si="30"/>
        <v>0</v>
      </c>
      <c r="M74" s="491">
        <f t="shared" si="30"/>
        <v>29.721</v>
      </c>
      <c r="N74" s="3"/>
      <c r="O74" s="3"/>
    </row>
    <row r="75" spans="1:15" s="62" customFormat="1" ht="12.75">
      <c r="A75" s="9"/>
      <c r="B75" s="1"/>
      <c r="C75" s="1" t="s">
        <v>8</v>
      </c>
      <c r="D75" s="16" t="s">
        <v>216</v>
      </c>
      <c r="E75" s="74">
        <f>F75+G75+H75+I75+J75+K75+L75+M75</f>
        <v>323.621</v>
      </c>
      <c r="F75" s="452">
        <f>213.9-60+140</f>
        <v>293.9</v>
      </c>
      <c r="G75" s="142"/>
      <c r="H75" s="462"/>
      <c r="I75" s="90"/>
      <c r="J75" s="94"/>
      <c r="K75" s="474"/>
      <c r="L75" s="482"/>
      <c r="M75" s="494">
        <v>29.721</v>
      </c>
      <c r="N75" s="3"/>
      <c r="O75" s="3"/>
    </row>
    <row r="76" spans="1:15" s="62" customFormat="1" ht="12.75">
      <c r="A76" s="81"/>
      <c r="B76" s="1" t="s">
        <v>54</v>
      </c>
      <c r="C76" s="1"/>
      <c r="D76" s="16" t="s">
        <v>55</v>
      </c>
      <c r="E76" s="74">
        <f t="shared" si="15"/>
        <v>4070</v>
      </c>
      <c r="F76" s="452">
        <f aca="true" t="shared" si="31" ref="F76:M79">F77</f>
        <v>0</v>
      </c>
      <c r="G76" s="142">
        <f t="shared" si="31"/>
        <v>4070</v>
      </c>
      <c r="H76" s="462">
        <f t="shared" si="31"/>
        <v>0</v>
      </c>
      <c r="I76" s="90">
        <f t="shared" si="31"/>
        <v>0</v>
      </c>
      <c r="J76" s="94">
        <f t="shared" si="31"/>
        <v>0</v>
      </c>
      <c r="K76" s="474">
        <f t="shared" si="31"/>
        <v>0</v>
      </c>
      <c r="L76" s="482">
        <f t="shared" si="31"/>
        <v>0</v>
      </c>
      <c r="M76" s="494">
        <f t="shared" si="31"/>
        <v>0</v>
      </c>
      <c r="N76" s="3"/>
      <c r="O76" s="3"/>
    </row>
    <row r="77" spans="1:15" s="62" customFormat="1" ht="12.75">
      <c r="A77" s="81"/>
      <c r="B77" s="1" t="s">
        <v>56</v>
      </c>
      <c r="C77" s="1"/>
      <c r="D77" s="16" t="s">
        <v>57</v>
      </c>
      <c r="E77" s="74">
        <f t="shared" si="15"/>
        <v>4070</v>
      </c>
      <c r="F77" s="452">
        <f t="shared" si="31"/>
        <v>0</v>
      </c>
      <c r="G77" s="142">
        <f t="shared" si="31"/>
        <v>4070</v>
      </c>
      <c r="H77" s="462">
        <f t="shared" si="31"/>
        <v>0</v>
      </c>
      <c r="I77" s="90">
        <f t="shared" si="31"/>
        <v>0</v>
      </c>
      <c r="J77" s="94">
        <f t="shared" si="31"/>
        <v>0</v>
      </c>
      <c r="K77" s="474">
        <f t="shared" si="31"/>
        <v>0</v>
      </c>
      <c r="L77" s="482">
        <f t="shared" si="31"/>
        <v>0</v>
      </c>
      <c r="M77" s="494">
        <f t="shared" si="31"/>
        <v>0</v>
      </c>
      <c r="N77" s="3"/>
      <c r="O77" s="3"/>
    </row>
    <row r="78" spans="1:15" s="62" customFormat="1" ht="25.5">
      <c r="A78" s="81"/>
      <c r="B78" s="59" t="s">
        <v>287</v>
      </c>
      <c r="C78" s="1"/>
      <c r="D78" s="16" t="s">
        <v>185</v>
      </c>
      <c r="E78" s="74">
        <f t="shared" si="15"/>
        <v>4070</v>
      </c>
      <c r="F78" s="452">
        <f t="shared" si="31"/>
        <v>0</v>
      </c>
      <c r="G78" s="142">
        <f t="shared" si="31"/>
        <v>4070</v>
      </c>
      <c r="H78" s="462">
        <f t="shared" si="31"/>
        <v>0</v>
      </c>
      <c r="I78" s="90">
        <f t="shared" si="31"/>
        <v>0</v>
      </c>
      <c r="J78" s="94">
        <f t="shared" si="31"/>
        <v>0</v>
      </c>
      <c r="K78" s="474">
        <f t="shared" si="31"/>
        <v>0</v>
      </c>
      <c r="L78" s="482">
        <f t="shared" si="31"/>
        <v>0</v>
      </c>
      <c r="M78" s="494">
        <f t="shared" si="31"/>
        <v>0</v>
      </c>
      <c r="N78" s="3"/>
      <c r="O78" s="3"/>
    </row>
    <row r="79" spans="1:15" s="62" customFormat="1" ht="12.75">
      <c r="A79" s="81"/>
      <c r="B79" s="59"/>
      <c r="C79" s="1" t="s">
        <v>210</v>
      </c>
      <c r="D79" s="16" t="s">
        <v>211</v>
      </c>
      <c r="E79" s="74">
        <f t="shared" si="15"/>
        <v>4070</v>
      </c>
      <c r="F79" s="452">
        <f t="shared" si="31"/>
        <v>0</v>
      </c>
      <c r="G79" s="142">
        <f t="shared" si="31"/>
        <v>4070</v>
      </c>
      <c r="H79" s="462">
        <f t="shared" si="31"/>
        <v>0</v>
      </c>
      <c r="I79" s="90">
        <f t="shared" si="31"/>
        <v>0</v>
      </c>
      <c r="J79" s="94">
        <f t="shared" si="31"/>
        <v>0</v>
      </c>
      <c r="K79" s="474">
        <f t="shared" si="31"/>
        <v>0</v>
      </c>
      <c r="L79" s="482">
        <f t="shared" si="31"/>
        <v>0</v>
      </c>
      <c r="M79" s="494">
        <f t="shared" si="31"/>
        <v>0</v>
      </c>
      <c r="N79" s="3"/>
      <c r="O79" s="3"/>
    </row>
    <row r="80" spans="1:15" s="62" customFormat="1" ht="12.75">
      <c r="A80" s="81"/>
      <c r="B80" s="59"/>
      <c r="C80" s="1" t="s">
        <v>8</v>
      </c>
      <c r="D80" s="16" t="s">
        <v>216</v>
      </c>
      <c r="E80" s="74">
        <f t="shared" si="15"/>
        <v>4070</v>
      </c>
      <c r="F80" s="452"/>
      <c r="G80" s="142">
        <f>130+3880+60</f>
        <v>4070</v>
      </c>
      <c r="H80" s="462"/>
      <c r="I80" s="90"/>
      <c r="J80" s="94"/>
      <c r="K80" s="474"/>
      <c r="L80" s="482"/>
      <c r="M80" s="494"/>
      <c r="N80" s="3"/>
      <c r="O80" s="3"/>
    </row>
    <row r="81" spans="1:15" s="67" customFormat="1" ht="12.75">
      <c r="A81" s="10" t="s">
        <v>34</v>
      </c>
      <c r="B81" s="10"/>
      <c r="C81" s="10"/>
      <c r="D81" s="15" t="s">
        <v>35</v>
      </c>
      <c r="E81" s="425">
        <f t="shared" si="15"/>
        <v>28450.602</v>
      </c>
      <c r="F81" s="453">
        <f aca="true" t="shared" si="32" ref="F81:M81">F115+F90+F82</f>
        <v>-2452.736</v>
      </c>
      <c r="G81" s="143">
        <f t="shared" si="32"/>
        <v>144</v>
      </c>
      <c r="H81" s="463">
        <f t="shared" si="32"/>
        <v>0</v>
      </c>
      <c r="I81" s="91">
        <f t="shared" si="32"/>
        <v>62.1</v>
      </c>
      <c r="J81" s="95">
        <f t="shared" si="32"/>
        <v>7637.2</v>
      </c>
      <c r="K81" s="475">
        <f t="shared" si="32"/>
        <v>3225.038</v>
      </c>
      <c r="L81" s="483">
        <f t="shared" si="32"/>
        <v>19835</v>
      </c>
      <c r="M81" s="495">
        <f t="shared" si="32"/>
        <v>0</v>
      </c>
      <c r="N81" s="4"/>
      <c r="O81" s="4"/>
    </row>
    <row r="82" spans="1:15" s="62" customFormat="1" ht="12.75">
      <c r="A82" s="1" t="s">
        <v>86</v>
      </c>
      <c r="B82" s="1"/>
      <c r="C82" s="1"/>
      <c r="D82" s="16" t="s">
        <v>87</v>
      </c>
      <c r="E82" s="74">
        <f t="shared" si="15"/>
        <v>0</v>
      </c>
      <c r="F82" s="452">
        <f>F83</f>
        <v>0</v>
      </c>
      <c r="G82" s="142">
        <f aca="true" t="shared" si="33" ref="G82:M84">G83</f>
        <v>0</v>
      </c>
      <c r="H82" s="462">
        <f t="shared" si="33"/>
        <v>0</v>
      </c>
      <c r="I82" s="90">
        <f t="shared" si="33"/>
        <v>0</v>
      </c>
      <c r="J82" s="94">
        <f t="shared" si="33"/>
        <v>0</v>
      </c>
      <c r="K82" s="474">
        <f t="shared" si="33"/>
        <v>0</v>
      </c>
      <c r="L82" s="482">
        <f t="shared" si="33"/>
        <v>0</v>
      </c>
      <c r="M82" s="494">
        <f t="shared" si="33"/>
        <v>0</v>
      </c>
      <c r="N82" s="3"/>
      <c r="O82" s="3"/>
    </row>
    <row r="83" spans="1:15" s="62" customFormat="1" ht="12.75">
      <c r="A83" s="81"/>
      <c r="B83" s="17" t="s">
        <v>54</v>
      </c>
      <c r="C83" s="17"/>
      <c r="D83" s="16" t="s">
        <v>55</v>
      </c>
      <c r="E83" s="74">
        <f t="shared" si="15"/>
        <v>0</v>
      </c>
      <c r="F83" s="452">
        <f>F84</f>
        <v>0</v>
      </c>
      <c r="G83" s="142">
        <f t="shared" si="33"/>
        <v>0</v>
      </c>
      <c r="H83" s="462">
        <f t="shared" si="33"/>
        <v>0</v>
      </c>
      <c r="I83" s="90">
        <f t="shared" si="33"/>
        <v>0</v>
      </c>
      <c r="J83" s="94">
        <f t="shared" si="33"/>
        <v>0</v>
      </c>
      <c r="K83" s="474">
        <f t="shared" si="33"/>
        <v>0</v>
      </c>
      <c r="L83" s="482">
        <f t="shared" si="33"/>
        <v>0</v>
      </c>
      <c r="M83" s="494">
        <f t="shared" si="33"/>
        <v>0</v>
      </c>
      <c r="N83" s="3"/>
      <c r="O83" s="3"/>
    </row>
    <row r="84" spans="1:15" s="62" customFormat="1" ht="12.75">
      <c r="A84" s="81"/>
      <c r="B84" s="17" t="s">
        <v>56</v>
      </c>
      <c r="C84" s="17"/>
      <c r="D84" s="21" t="s">
        <v>57</v>
      </c>
      <c r="E84" s="74">
        <f t="shared" si="15"/>
        <v>0</v>
      </c>
      <c r="F84" s="452">
        <f>F85</f>
        <v>0</v>
      </c>
      <c r="G84" s="142">
        <f t="shared" si="33"/>
        <v>0</v>
      </c>
      <c r="H84" s="462">
        <f t="shared" si="33"/>
        <v>0</v>
      </c>
      <c r="I84" s="90">
        <f t="shared" si="33"/>
        <v>0</v>
      </c>
      <c r="J84" s="94">
        <f t="shared" si="33"/>
        <v>0</v>
      </c>
      <c r="K84" s="474">
        <f t="shared" si="33"/>
        <v>0</v>
      </c>
      <c r="L84" s="482">
        <f t="shared" si="33"/>
        <v>0</v>
      </c>
      <c r="M84" s="494">
        <f t="shared" si="33"/>
        <v>0</v>
      </c>
      <c r="N84" s="3"/>
      <c r="O84" s="3"/>
    </row>
    <row r="85" spans="1:15" s="62" customFormat="1" ht="15" customHeight="1">
      <c r="A85" s="81"/>
      <c r="B85" s="17" t="s">
        <v>242</v>
      </c>
      <c r="C85" s="17"/>
      <c r="D85" s="16" t="s">
        <v>243</v>
      </c>
      <c r="E85" s="74">
        <f t="shared" si="15"/>
        <v>0</v>
      </c>
      <c r="F85" s="452">
        <f>F86+F88</f>
        <v>0</v>
      </c>
      <c r="G85" s="142">
        <f aca="true" t="shared" si="34" ref="G85:M85">G86+G88</f>
        <v>0</v>
      </c>
      <c r="H85" s="462">
        <f t="shared" si="34"/>
        <v>0</v>
      </c>
      <c r="I85" s="90">
        <f t="shared" si="34"/>
        <v>0</v>
      </c>
      <c r="J85" s="94">
        <f t="shared" si="34"/>
        <v>0</v>
      </c>
      <c r="K85" s="474">
        <f t="shared" si="34"/>
        <v>0</v>
      </c>
      <c r="L85" s="482">
        <f t="shared" si="34"/>
        <v>0</v>
      </c>
      <c r="M85" s="494">
        <f t="shared" si="34"/>
        <v>0</v>
      </c>
      <c r="N85" s="3"/>
      <c r="O85" s="3"/>
    </row>
    <row r="86" spans="1:15" s="62" customFormat="1" ht="12.75">
      <c r="A86" s="81"/>
      <c r="B86" s="17"/>
      <c r="C86" s="1" t="s">
        <v>210</v>
      </c>
      <c r="D86" s="16" t="s">
        <v>211</v>
      </c>
      <c r="E86" s="74">
        <f t="shared" si="15"/>
        <v>210</v>
      </c>
      <c r="F86" s="452">
        <f>F87</f>
        <v>0</v>
      </c>
      <c r="G86" s="142">
        <f aca="true" t="shared" si="35" ref="G86:M86">G87</f>
        <v>0</v>
      </c>
      <c r="H86" s="462">
        <f t="shared" si="35"/>
        <v>0</v>
      </c>
      <c r="I86" s="90">
        <f t="shared" si="35"/>
        <v>0</v>
      </c>
      <c r="J86" s="94">
        <f t="shared" si="35"/>
        <v>0</v>
      </c>
      <c r="K86" s="474">
        <f t="shared" si="35"/>
        <v>0</v>
      </c>
      <c r="L86" s="482">
        <f t="shared" si="35"/>
        <v>0</v>
      </c>
      <c r="M86" s="494">
        <f t="shared" si="35"/>
        <v>210</v>
      </c>
      <c r="N86" s="3"/>
      <c r="O86" s="3"/>
    </row>
    <row r="87" spans="1:15" s="62" customFormat="1" ht="12.75">
      <c r="A87" s="81"/>
      <c r="B87" s="17"/>
      <c r="C87" s="1" t="s">
        <v>8</v>
      </c>
      <c r="D87" s="16" t="s">
        <v>216</v>
      </c>
      <c r="E87" s="74">
        <f t="shared" si="15"/>
        <v>210</v>
      </c>
      <c r="F87" s="452"/>
      <c r="G87" s="142"/>
      <c r="H87" s="462"/>
      <c r="I87" s="90"/>
      <c r="J87" s="94"/>
      <c r="K87" s="474"/>
      <c r="L87" s="482"/>
      <c r="M87" s="494">
        <v>210</v>
      </c>
      <c r="N87" s="3"/>
      <c r="O87" s="3"/>
    </row>
    <row r="88" spans="1:15" s="62" customFormat="1" ht="12.75">
      <c r="A88" s="81"/>
      <c r="B88" s="17"/>
      <c r="C88" s="1" t="s">
        <v>230</v>
      </c>
      <c r="D88" s="16" t="s">
        <v>231</v>
      </c>
      <c r="E88" s="74">
        <f t="shared" si="15"/>
        <v>-210</v>
      </c>
      <c r="F88" s="452">
        <f>F89</f>
        <v>0</v>
      </c>
      <c r="G88" s="142">
        <f aca="true" t="shared" si="36" ref="G88:M88">G89</f>
        <v>0</v>
      </c>
      <c r="H88" s="462">
        <f t="shared" si="36"/>
        <v>0</v>
      </c>
      <c r="I88" s="90">
        <f t="shared" si="36"/>
        <v>0</v>
      </c>
      <c r="J88" s="94">
        <f t="shared" si="36"/>
        <v>0</v>
      </c>
      <c r="K88" s="474">
        <f t="shared" si="36"/>
        <v>0</v>
      </c>
      <c r="L88" s="482">
        <f t="shared" si="36"/>
        <v>0</v>
      </c>
      <c r="M88" s="494">
        <f t="shared" si="36"/>
        <v>-210</v>
      </c>
      <c r="N88" s="3"/>
      <c r="O88" s="3"/>
    </row>
    <row r="89" spans="1:15" s="62" customFormat="1" ht="27" customHeight="1">
      <c r="A89" s="81"/>
      <c r="B89" s="17"/>
      <c r="C89" s="1" t="s">
        <v>127</v>
      </c>
      <c r="D89" s="16" t="s">
        <v>269</v>
      </c>
      <c r="E89" s="74">
        <f t="shared" si="15"/>
        <v>-210</v>
      </c>
      <c r="F89" s="452"/>
      <c r="G89" s="142"/>
      <c r="H89" s="462"/>
      <c r="I89" s="90"/>
      <c r="J89" s="94"/>
      <c r="K89" s="474"/>
      <c r="L89" s="482"/>
      <c r="M89" s="494">
        <v>-210</v>
      </c>
      <c r="N89" s="3"/>
      <c r="O89" s="3"/>
    </row>
    <row r="90" spans="1:15" s="62" customFormat="1" ht="12.75">
      <c r="A90" s="1" t="s">
        <v>124</v>
      </c>
      <c r="B90" s="1"/>
      <c r="C90" s="1"/>
      <c r="D90" s="16" t="s">
        <v>244</v>
      </c>
      <c r="E90" s="74">
        <f t="shared" si="15"/>
        <v>5324.602000000001</v>
      </c>
      <c r="F90" s="452">
        <f>F91+F102</f>
        <v>-4275.536</v>
      </c>
      <c r="G90" s="142">
        <f aca="true" t="shared" si="37" ref="G90:M90">G91+G102</f>
        <v>0</v>
      </c>
      <c r="H90" s="462">
        <f t="shared" si="37"/>
        <v>0</v>
      </c>
      <c r="I90" s="90">
        <f t="shared" si="37"/>
        <v>62.1</v>
      </c>
      <c r="J90" s="94">
        <f t="shared" si="37"/>
        <v>7579</v>
      </c>
      <c r="K90" s="474">
        <f t="shared" si="37"/>
        <v>0.038</v>
      </c>
      <c r="L90" s="482">
        <f t="shared" si="37"/>
        <v>1959</v>
      </c>
      <c r="M90" s="494">
        <f t="shared" si="37"/>
        <v>0</v>
      </c>
      <c r="N90" s="70"/>
      <c r="O90" s="3"/>
    </row>
    <row r="91" spans="1:15" s="62" customFormat="1" ht="12.75">
      <c r="A91" s="81"/>
      <c r="B91" s="1" t="s">
        <v>245</v>
      </c>
      <c r="C91" s="1"/>
      <c r="D91" s="16" t="s">
        <v>246</v>
      </c>
      <c r="E91" s="74">
        <f>E92+E96+E99</f>
        <v>-2254.4359999999997</v>
      </c>
      <c r="F91" s="451">
        <f aca="true" t="shared" si="38" ref="F91:M91">F92+F96+F99</f>
        <v>-4275.536</v>
      </c>
      <c r="G91" s="141">
        <f t="shared" si="38"/>
        <v>0</v>
      </c>
      <c r="H91" s="461">
        <f t="shared" si="38"/>
        <v>0</v>
      </c>
      <c r="I91" s="89">
        <f t="shared" si="38"/>
        <v>62.1</v>
      </c>
      <c r="J91" s="93">
        <f t="shared" si="38"/>
        <v>0</v>
      </c>
      <c r="K91" s="471">
        <f t="shared" si="38"/>
        <v>0</v>
      </c>
      <c r="L91" s="481">
        <f t="shared" si="38"/>
        <v>1959</v>
      </c>
      <c r="M91" s="491">
        <f t="shared" si="38"/>
        <v>0</v>
      </c>
      <c r="N91" s="70"/>
      <c r="O91" s="3"/>
    </row>
    <row r="92" spans="1:15" s="62" customFormat="1" ht="12.75">
      <c r="A92" s="81"/>
      <c r="B92" s="1" t="s">
        <v>1099</v>
      </c>
      <c r="C92" s="1"/>
      <c r="D92" s="16" t="s">
        <v>1101</v>
      </c>
      <c r="E92" s="74">
        <f>E93</f>
        <v>-4275.536</v>
      </c>
      <c r="F92" s="451">
        <f aca="true" t="shared" si="39" ref="F92:M94">F93</f>
        <v>-4275.536</v>
      </c>
      <c r="G92" s="141">
        <f t="shared" si="39"/>
        <v>0</v>
      </c>
      <c r="H92" s="461">
        <f t="shared" si="39"/>
        <v>0</v>
      </c>
      <c r="I92" s="89">
        <f t="shared" si="39"/>
        <v>0</v>
      </c>
      <c r="J92" s="93">
        <f t="shared" si="39"/>
        <v>0</v>
      </c>
      <c r="K92" s="471">
        <f t="shared" si="39"/>
        <v>0</v>
      </c>
      <c r="L92" s="481">
        <f t="shared" si="39"/>
        <v>0</v>
      </c>
      <c r="M92" s="491">
        <f t="shared" si="39"/>
        <v>0</v>
      </c>
      <c r="N92" s="70"/>
      <c r="O92" s="3"/>
    </row>
    <row r="93" spans="1:15" s="62" customFormat="1" ht="25.5">
      <c r="A93" s="81"/>
      <c r="B93" s="1" t="s">
        <v>1100</v>
      </c>
      <c r="C93" s="1"/>
      <c r="D93" s="16" t="s">
        <v>1102</v>
      </c>
      <c r="E93" s="74">
        <f>E94</f>
        <v>-4275.536</v>
      </c>
      <c r="F93" s="451">
        <f t="shared" si="39"/>
        <v>-4275.536</v>
      </c>
      <c r="G93" s="141">
        <f t="shared" si="39"/>
        <v>0</v>
      </c>
      <c r="H93" s="461">
        <f t="shared" si="39"/>
        <v>0</v>
      </c>
      <c r="I93" s="89">
        <f t="shared" si="39"/>
        <v>0</v>
      </c>
      <c r="J93" s="93">
        <f t="shared" si="39"/>
        <v>0</v>
      </c>
      <c r="K93" s="471">
        <f t="shared" si="39"/>
        <v>0</v>
      </c>
      <c r="L93" s="481">
        <f t="shared" si="39"/>
        <v>0</v>
      </c>
      <c r="M93" s="491">
        <f t="shared" si="39"/>
        <v>0</v>
      </c>
      <c r="N93" s="70"/>
      <c r="O93" s="3"/>
    </row>
    <row r="94" spans="1:15" s="62" customFormat="1" ht="12.75">
      <c r="A94" s="81"/>
      <c r="B94" s="1"/>
      <c r="C94" s="1" t="s">
        <v>210</v>
      </c>
      <c r="D94" s="16" t="s">
        <v>211</v>
      </c>
      <c r="E94" s="74">
        <f>E95</f>
        <v>-4275.536</v>
      </c>
      <c r="F94" s="451">
        <f t="shared" si="39"/>
        <v>-4275.536</v>
      </c>
      <c r="G94" s="141">
        <f t="shared" si="39"/>
        <v>0</v>
      </c>
      <c r="H94" s="461">
        <f t="shared" si="39"/>
        <v>0</v>
      </c>
      <c r="I94" s="89">
        <f t="shared" si="39"/>
        <v>0</v>
      </c>
      <c r="J94" s="93">
        <f t="shared" si="39"/>
        <v>0</v>
      </c>
      <c r="K94" s="471">
        <f t="shared" si="39"/>
        <v>0</v>
      </c>
      <c r="L94" s="481">
        <f t="shared" si="39"/>
        <v>0</v>
      </c>
      <c r="M94" s="491">
        <f t="shared" si="39"/>
        <v>0</v>
      </c>
      <c r="N94" s="70"/>
      <c r="O94" s="3"/>
    </row>
    <row r="95" spans="1:15" s="62" customFormat="1" ht="12.75">
      <c r="A95" s="81"/>
      <c r="B95" s="1"/>
      <c r="C95" s="1" t="s">
        <v>8</v>
      </c>
      <c r="D95" s="16" t="s">
        <v>216</v>
      </c>
      <c r="E95" s="74">
        <f>F95+G95+H95+I95+J95+K95+L95+M95</f>
        <v>-4275.536</v>
      </c>
      <c r="F95" s="452">
        <v>-4275.536</v>
      </c>
      <c r="G95" s="142"/>
      <c r="H95" s="462"/>
      <c r="I95" s="90"/>
      <c r="J95" s="94"/>
      <c r="K95" s="474"/>
      <c r="L95" s="482"/>
      <c r="M95" s="494"/>
      <c r="N95" s="70"/>
      <c r="O95" s="3"/>
    </row>
    <row r="96" spans="1:15" s="62" customFormat="1" ht="25.5">
      <c r="A96" s="81"/>
      <c r="B96" s="1" t="s">
        <v>247</v>
      </c>
      <c r="C96" s="1"/>
      <c r="D96" s="16" t="s">
        <v>248</v>
      </c>
      <c r="E96" s="74">
        <f t="shared" si="15"/>
        <v>62.1</v>
      </c>
      <c r="F96" s="452">
        <f>F97</f>
        <v>0</v>
      </c>
      <c r="G96" s="142">
        <f aca="true" t="shared" si="40" ref="G96:M97">G97</f>
        <v>0</v>
      </c>
      <c r="H96" s="462">
        <f t="shared" si="40"/>
        <v>0</v>
      </c>
      <c r="I96" s="90">
        <f t="shared" si="40"/>
        <v>62.1</v>
      </c>
      <c r="J96" s="94">
        <f t="shared" si="40"/>
        <v>0</v>
      </c>
      <c r="K96" s="474">
        <f t="shared" si="40"/>
        <v>0</v>
      </c>
      <c r="L96" s="482">
        <f t="shared" si="40"/>
        <v>0</v>
      </c>
      <c r="M96" s="494">
        <f t="shared" si="40"/>
        <v>0</v>
      </c>
      <c r="N96" s="70"/>
      <c r="O96" s="3"/>
    </row>
    <row r="97" spans="1:15" s="62" customFormat="1" ht="12.75">
      <c r="A97" s="81"/>
      <c r="B97" s="1"/>
      <c r="C97" s="1" t="s">
        <v>210</v>
      </c>
      <c r="D97" s="16" t="s">
        <v>211</v>
      </c>
      <c r="E97" s="74">
        <f t="shared" si="15"/>
        <v>62.1</v>
      </c>
      <c r="F97" s="452">
        <f>F98</f>
        <v>0</v>
      </c>
      <c r="G97" s="142">
        <f t="shared" si="40"/>
        <v>0</v>
      </c>
      <c r="H97" s="462">
        <f t="shared" si="40"/>
        <v>0</v>
      </c>
      <c r="I97" s="90">
        <f t="shared" si="40"/>
        <v>62.1</v>
      </c>
      <c r="J97" s="94">
        <f t="shared" si="40"/>
        <v>0</v>
      </c>
      <c r="K97" s="474">
        <f t="shared" si="40"/>
        <v>0</v>
      </c>
      <c r="L97" s="482">
        <f t="shared" si="40"/>
        <v>0</v>
      </c>
      <c r="M97" s="494">
        <f t="shared" si="40"/>
        <v>0</v>
      </c>
      <c r="N97" s="70"/>
      <c r="O97" s="3"/>
    </row>
    <row r="98" spans="1:15" s="62" customFormat="1" ht="12.75">
      <c r="A98" s="81"/>
      <c r="B98" s="1"/>
      <c r="C98" s="1" t="s">
        <v>8</v>
      </c>
      <c r="D98" s="16" t="s">
        <v>216</v>
      </c>
      <c r="E98" s="74">
        <f t="shared" si="15"/>
        <v>62.1</v>
      </c>
      <c r="F98" s="452"/>
      <c r="G98" s="142"/>
      <c r="H98" s="462"/>
      <c r="I98" s="90">
        <v>62.1</v>
      </c>
      <c r="J98" s="94"/>
      <c r="K98" s="474"/>
      <c r="L98" s="482"/>
      <c r="M98" s="494"/>
      <c r="N98" s="70"/>
      <c r="O98" s="3"/>
    </row>
    <row r="99" spans="1:15" s="62" customFormat="1" ht="51">
      <c r="A99" s="81"/>
      <c r="B99" s="59" t="s">
        <v>178</v>
      </c>
      <c r="C99" s="1"/>
      <c r="D99" s="50" t="s">
        <v>167</v>
      </c>
      <c r="E99" s="74">
        <f t="shared" si="15"/>
        <v>1959</v>
      </c>
      <c r="F99" s="452">
        <f>F100</f>
        <v>0</v>
      </c>
      <c r="G99" s="142">
        <f aca="true" t="shared" si="41" ref="G99:M100">G100</f>
        <v>0</v>
      </c>
      <c r="H99" s="462">
        <f t="shared" si="41"/>
        <v>0</v>
      </c>
      <c r="I99" s="90">
        <f t="shared" si="41"/>
        <v>0</v>
      </c>
      <c r="J99" s="94">
        <f t="shared" si="41"/>
        <v>0</v>
      </c>
      <c r="K99" s="474">
        <f t="shared" si="41"/>
        <v>0</v>
      </c>
      <c r="L99" s="482">
        <f>L100</f>
        <v>1959</v>
      </c>
      <c r="M99" s="494">
        <f t="shared" si="41"/>
        <v>0</v>
      </c>
      <c r="N99" s="70"/>
      <c r="O99" s="3"/>
    </row>
    <row r="100" spans="1:15" s="62" customFormat="1" ht="12.75">
      <c r="A100" s="81"/>
      <c r="B100" s="59"/>
      <c r="C100" s="1" t="s">
        <v>212</v>
      </c>
      <c r="D100" s="16" t="s">
        <v>45</v>
      </c>
      <c r="E100" s="74">
        <f t="shared" si="15"/>
        <v>1959</v>
      </c>
      <c r="F100" s="452">
        <f>F101</f>
        <v>0</v>
      </c>
      <c r="G100" s="142">
        <f t="shared" si="41"/>
        <v>0</v>
      </c>
      <c r="H100" s="462">
        <f t="shared" si="41"/>
        <v>0</v>
      </c>
      <c r="I100" s="90">
        <f t="shared" si="41"/>
        <v>0</v>
      </c>
      <c r="J100" s="94">
        <f t="shared" si="41"/>
        <v>0</v>
      </c>
      <c r="K100" s="474">
        <f t="shared" si="41"/>
        <v>0</v>
      </c>
      <c r="L100" s="482">
        <f t="shared" si="41"/>
        <v>1959</v>
      </c>
      <c r="M100" s="494">
        <f t="shared" si="41"/>
        <v>0</v>
      </c>
      <c r="N100" s="70"/>
      <c r="O100" s="3"/>
    </row>
    <row r="101" spans="1:15" s="62" customFormat="1" ht="25.5">
      <c r="A101" s="81"/>
      <c r="B101" s="59"/>
      <c r="C101" s="1" t="s">
        <v>125</v>
      </c>
      <c r="D101" s="16" t="s">
        <v>290</v>
      </c>
      <c r="E101" s="74">
        <f t="shared" si="15"/>
        <v>1959</v>
      </c>
      <c r="F101" s="452"/>
      <c r="G101" s="142"/>
      <c r="H101" s="462"/>
      <c r="I101" s="90"/>
      <c r="J101" s="94"/>
      <c r="K101" s="474"/>
      <c r="L101" s="482">
        <v>1959</v>
      </c>
      <c r="M101" s="494"/>
      <c r="N101" s="70"/>
      <c r="O101" s="3"/>
    </row>
    <row r="102" spans="1:15" s="62" customFormat="1" ht="12.75">
      <c r="A102" s="81"/>
      <c r="B102" s="1" t="s">
        <v>37</v>
      </c>
      <c r="C102" s="1"/>
      <c r="D102" s="16" t="s">
        <v>38</v>
      </c>
      <c r="E102" s="74">
        <f>E103+E107+E111</f>
        <v>7579.038</v>
      </c>
      <c r="F102" s="451">
        <f aca="true" t="shared" si="42" ref="F102:M102">F103+F107+F111</f>
        <v>0</v>
      </c>
      <c r="G102" s="141">
        <f t="shared" si="42"/>
        <v>0</v>
      </c>
      <c r="H102" s="461">
        <f t="shared" si="42"/>
        <v>0</v>
      </c>
      <c r="I102" s="89">
        <f t="shared" si="42"/>
        <v>0</v>
      </c>
      <c r="J102" s="93">
        <f t="shared" si="42"/>
        <v>7579</v>
      </c>
      <c r="K102" s="471">
        <f t="shared" si="42"/>
        <v>0.038</v>
      </c>
      <c r="L102" s="481">
        <f t="shared" si="42"/>
        <v>0</v>
      </c>
      <c r="M102" s="491">
        <f t="shared" si="42"/>
        <v>0</v>
      </c>
      <c r="N102" s="70"/>
      <c r="O102" s="3"/>
    </row>
    <row r="103" spans="1:15" s="62" customFormat="1" ht="25.5">
      <c r="A103" s="81"/>
      <c r="B103" s="1" t="s">
        <v>209</v>
      </c>
      <c r="C103" s="1"/>
      <c r="D103" s="49" t="s">
        <v>3</v>
      </c>
      <c r="E103" s="74">
        <f t="shared" si="15"/>
        <v>0.038</v>
      </c>
      <c r="F103" s="452">
        <f>F104</f>
        <v>0</v>
      </c>
      <c r="G103" s="142">
        <f aca="true" t="shared" si="43" ref="G103:M105">G104</f>
        <v>0</v>
      </c>
      <c r="H103" s="462">
        <f t="shared" si="43"/>
        <v>0</v>
      </c>
      <c r="I103" s="90">
        <f t="shared" si="43"/>
        <v>0</v>
      </c>
      <c r="J103" s="94">
        <f t="shared" si="43"/>
        <v>0</v>
      </c>
      <c r="K103" s="474">
        <f t="shared" si="43"/>
        <v>0.038</v>
      </c>
      <c r="L103" s="482">
        <f t="shared" si="43"/>
        <v>0</v>
      </c>
      <c r="M103" s="494">
        <f t="shared" si="43"/>
        <v>0</v>
      </c>
      <c r="N103" s="70"/>
      <c r="O103" s="3"/>
    </row>
    <row r="104" spans="1:15" s="62" customFormat="1" ht="12.75">
      <c r="A104" s="81"/>
      <c r="B104" s="59" t="s">
        <v>288</v>
      </c>
      <c r="C104" s="1"/>
      <c r="D104" s="16" t="s">
        <v>166</v>
      </c>
      <c r="E104" s="74">
        <f t="shared" si="15"/>
        <v>0.038</v>
      </c>
      <c r="F104" s="452">
        <f>F105</f>
        <v>0</v>
      </c>
      <c r="G104" s="142">
        <f t="shared" si="43"/>
        <v>0</v>
      </c>
      <c r="H104" s="462">
        <f t="shared" si="43"/>
        <v>0</v>
      </c>
      <c r="I104" s="90">
        <f t="shared" si="43"/>
        <v>0</v>
      </c>
      <c r="J104" s="94">
        <f t="shared" si="43"/>
        <v>0</v>
      </c>
      <c r="K104" s="474">
        <f t="shared" si="43"/>
        <v>0.038</v>
      </c>
      <c r="L104" s="482">
        <f t="shared" si="43"/>
        <v>0</v>
      </c>
      <c r="M104" s="494">
        <f t="shared" si="43"/>
        <v>0</v>
      </c>
      <c r="N104" s="70"/>
      <c r="O104" s="3"/>
    </row>
    <row r="105" spans="1:15" s="62" customFormat="1" ht="12.75">
      <c r="A105" s="81"/>
      <c r="B105" s="59"/>
      <c r="C105" s="1" t="s">
        <v>210</v>
      </c>
      <c r="D105" s="16" t="s">
        <v>211</v>
      </c>
      <c r="E105" s="74">
        <f t="shared" si="15"/>
        <v>0.038</v>
      </c>
      <c r="F105" s="452">
        <f>F106</f>
        <v>0</v>
      </c>
      <c r="G105" s="142">
        <f t="shared" si="43"/>
        <v>0</v>
      </c>
      <c r="H105" s="462">
        <f t="shared" si="43"/>
        <v>0</v>
      </c>
      <c r="I105" s="90">
        <f t="shared" si="43"/>
        <v>0</v>
      </c>
      <c r="J105" s="94">
        <f t="shared" si="43"/>
        <v>0</v>
      </c>
      <c r="K105" s="474">
        <f t="shared" si="43"/>
        <v>0.038</v>
      </c>
      <c r="L105" s="482">
        <f t="shared" si="43"/>
        <v>0</v>
      </c>
      <c r="M105" s="494">
        <f t="shared" si="43"/>
        <v>0</v>
      </c>
      <c r="N105" s="70"/>
      <c r="O105" s="3"/>
    </row>
    <row r="106" spans="1:15" s="62" customFormat="1" ht="12.75">
      <c r="A106" s="81"/>
      <c r="B106" s="59"/>
      <c r="C106" s="1" t="s">
        <v>8</v>
      </c>
      <c r="D106" s="16" t="s">
        <v>216</v>
      </c>
      <c r="E106" s="74">
        <f t="shared" si="15"/>
        <v>0.038</v>
      </c>
      <c r="F106" s="452"/>
      <c r="G106" s="142"/>
      <c r="H106" s="462"/>
      <c r="I106" s="90"/>
      <c r="J106" s="94"/>
      <c r="K106" s="474">
        <v>0.038</v>
      </c>
      <c r="L106" s="482"/>
      <c r="M106" s="494"/>
      <c r="N106" s="70"/>
      <c r="O106" s="3"/>
    </row>
    <row r="107" spans="1:15" s="62" customFormat="1" ht="25.5">
      <c r="A107" s="81"/>
      <c r="B107" s="59" t="s">
        <v>39</v>
      </c>
      <c r="C107" s="1"/>
      <c r="D107" s="16" t="s">
        <v>40</v>
      </c>
      <c r="E107" s="74">
        <f t="shared" si="15"/>
        <v>79</v>
      </c>
      <c r="F107" s="452">
        <f>F108</f>
        <v>0</v>
      </c>
      <c r="G107" s="142">
        <f aca="true" t="shared" si="44" ref="G107:M109">G108</f>
        <v>0</v>
      </c>
      <c r="H107" s="462">
        <f t="shared" si="44"/>
        <v>0</v>
      </c>
      <c r="I107" s="90">
        <f t="shared" si="44"/>
        <v>0</v>
      </c>
      <c r="J107" s="94">
        <f t="shared" si="44"/>
        <v>79</v>
      </c>
      <c r="K107" s="474">
        <f t="shared" si="44"/>
        <v>0</v>
      </c>
      <c r="L107" s="482">
        <f t="shared" si="44"/>
        <v>0</v>
      </c>
      <c r="M107" s="494">
        <f t="shared" si="44"/>
        <v>0</v>
      </c>
      <c r="N107" s="70"/>
      <c r="O107" s="3"/>
    </row>
    <row r="108" spans="1:15" s="62" customFormat="1" ht="25.5">
      <c r="A108" s="81"/>
      <c r="B108" s="59" t="s">
        <v>294</v>
      </c>
      <c r="C108" s="1"/>
      <c r="D108" s="16" t="s">
        <v>138</v>
      </c>
      <c r="E108" s="74">
        <f t="shared" si="15"/>
        <v>79</v>
      </c>
      <c r="F108" s="452">
        <f>F109</f>
        <v>0</v>
      </c>
      <c r="G108" s="142">
        <f t="shared" si="44"/>
        <v>0</v>
      </c>
      <c r="H108" s="462">
        <f t="shared" si="44"/>
        <v>0</v>
      </c>
      <c r="I108" s="90">
        <f t="shared" si="44"/>
        <v>0</v>
      </c>
      <c r="J108" s="94">
        <f t="shared" si="44"/>
        <v>79</v>
      </c>
      <c r="K108" s="474">
        <f t="shared" si="44"/>
        <v>0</v>
      </c>
      <c r="L108" s="482">
        <f t="shared" si="44"/>
        <v>0</v>
      </c>
      <c r="M108" s="494">
        <f t="shared" si="44"/>
        <v>0</v>
      </c>
      <c r="N108" s="70"/>
      <c r="O108" s="3"/>
    </row>
    <row r="109" spans="1:15" s="62" customFormat="1" ht="12.75">
      <c r="A109" s="81"/>
      <c r="B109" s="59"/>
      <c r="C109" s="1" t="s">
        <v>210</v>
      </c>
      <c r="D109" s="16" t="s">
        <v>211</v>
      </c>
      <c r="E109" s="74">
        <f t="shared" si="15"/>
        <v>79</v>
      </c>
      <c r="F109" s="452">
        <f>F110</f>
        <v>0</v>
      </c>
      <c r="G109" s="142">
        <f t="shared" si="44"/>
        <v>0</v>
      </c>
      <c r="H109" s="462">
        <f t="shared" si="44"/>
        <v>0</v>
      </c>
      <c r="I109" s="90">
        <f t="shared" si="44"/>
        <v>0</v>
      </c>
      <c r="J109" s="94">
        <f t="shared" si="44"/>
        <v>79</v>
      </c>
      <c r="K109" s="474">
        <f t="shared" si="44"/>
        <v>0</v>
      </c>
      <c r="L109" s="482">
        <f t="shared" si="44"/>
        <v>0</v>
      </c>
      <c r="M109" s="494">
        <f t="shared" si="44"/>
        <v>0</v>
      </c>
      <c r="N109" s="70"/>
      <c r="O109" s="3"/>
    </row>
    <row r="110" spans="1:15" s="62" customFormat="1" ht="12.75">
      <c r="A110" s="81"/>
      <c r="B110" s="59"/>
      <c r="C110" s="1" t="s">
        <v>8</v>
      </c>
      <c r="D110" s="16" t="s">
        <v>216</v>
      </c>
      <c r="E110" s="74">
        <f t="shared" si="15"/>
        <v>79</v>
      </c>
      <c r="F110" s="452"/>
      <c r="G110" s="142"/>
      <c r="H110" s="462"/>
      <c r="I110" s="90"/>
      <c r="J110" s="94">
        <v>79</v>
      </c>
      <c r="K110" s="474"/>
      <c r="L110" s="482"/>
      <c r="M110" s="494"/>
      <c r="N110" s="70"/>
      <c r="O110" s="3"/>
    </row>
    <row r="111" spans="1:15" s="62" customFormat="1" ht="26.25" customHeight="1">
      <c r="A111" s="81"/>
      <c r="B111" s="59" t="s">
        <v>102</v>
      </c>
      <c r="C111" s="1"/>
      <c r="D111" s="16" t="s">
        <v>103</v>
      </c>
      <c r="E111" s="74">
        <f>E112</f>
        <v>7500</v>
      </c>
      <c r="F111" s="451">
        <f aca="true" t="shared" si="45" ref="F111:M113">F112</f>
        <v>0</v>
      </c>
      <c r="G111" s="141">
        <f t="shared" si="45"/>
        <v>0</v>
      </c>
      <c r="H111" s="461">
        <f t="shared" si="45"/>
        <v>0</v>
      </c>
      <c r="I111" s="89">
        <f t="shared" si="45"/>
        <v>0</v>
      </c>
      <c r="J111" s="93">
        <f t="shared" si="45"/>
        <v>7500</v>
      </c>
      <c r="K111" s="471">
        <f t="shared" si="45"/>
        <v>0</v>
      </c>
      <c r="L111" s="481">
        <f t="shared" si="45"/>
        <v>0</v>
      </c>
      <c r="M111" s="491">
        <f t="shared" si="45"/>
        <v>0</v>
      </c>
      <c r="N111" s="70"/>
      <c r="O111" s="3"/>
    </row>
    <row r="112" spans="1:15" s="62" customFormat="1" ht="25.5">
      <c r="A112" s="81"/>
      <c r="B112" s="59" t="s">
        <v>1038</v>
      </c>
      <c r="C112" s="32"/>
      <c r="D112" s="126" t="s">
        <v>1039</v>
      </c>
      <c r="E112" s="74">
        <f>E113</f>
        <v>7500</v>
      </c>
      <c r="F112" s="451">
        <f t="shared" si="45"/>
        <v>0</v>
      </c>
      <c r="G112" s="141">
        <f t="shared" si="45"/>
        <v>0</v>
      </c>
      <c r="H112" s="461">
        <f t="shared" si="45"/>
        <v>0</v>
      </c>
      <c r="I112" s="89">
        <f t="shared" si="45"/>
        <v>0</v>
      </c>
      <c r="J112" s="93">
        <f t="shared" si="45"/>
        <v>7500</v>
      </c>
      <c r="K112" s="471">
        <f t="shared" si="45"/>
        <v>0</v>
      </c>
      <c r="L112" s="481">
        <f t="shared" si="45"/>
        <v>0</v>
      </c>
      <c r="M112" s="491">
        <f t="shared" si="45"/>
        <v>0</v>
      </c>
      <c r="N112" s="70"/>
      <c r="O112" s="3"/>
    </row>
    <row r="113" spans="1:15" s="62" customFormat="1" ht="12.75">
      <c r="A113" s="81"/>
      <c r="B113" s="405"/>
      <c r="C113" s="1" t="s">
        <v>212</v>
      </c>
      <c r="D113" s="16" t="s">
        <v>45</v>
      </c>
      <c r="E113" s="74">
        <f>E114</f>
        <v>7500</v>
      </c>
      <c r="F113" s="451">
        <f t="shared" si="45"/>
        <v>0</v>
      </c>
      <c r="G113" s="141">
        <f t="shared" si="45"/>
        <v>0</v>
      </c>
      <c r="H113" s="461">
        <f t="shared" si="45"/>
        <v>0</v>
      </c>
      <c r="I113" s="89">
        <f t="shared" si="45"/>
        <v>0</v>
      </c>
      <c r="J113" s="93">
        <f t="shared" si="45"/>
        <v>7500</v>
      </c>
      <c r="K113" s="471">
        <f t="shared" si="45"/>
        <v>0</v>
      </c>
      <c r="L113" s="481">
        <f t="shared" si="45"/>
        <v>0</v>
      </c>
      <c r="M113" s="491">
        <f t="shared" si="45"/>
        <v>0</v>
      </c>
      <c r="N113" s="70"/>
      <c r="O113" s="3"/>
    </row>
    <row r="114" spans="1:15" s="62" customFormat="1" ht="25.5">
      <c r="A114" s="81"/>
      <c r="B114" s="405"/>
      <c r="C114" s="1" t="s">
        <v>125</v>
      </c>
      <c r="D114" s="16" t="s">
        <v>290</v>
      </c>
      <c r="E114" s="74">
        <f t="shared" si="15"/>
        <v>7500</v>
      </c>
      <c r="F114" s="452"/>
      <c r="G114" s="142"/>
      <c r="H114" s="462"/>
      <c r="I114" s="90"/>
      <c r="J114" s="94">
        <v>7500</v>
      </c>
      <c r="K114" s="474"/>
      <c r="L114" s="482"/>
      <c r="M114" s="494"/>
      <c r="N114" s="70"/>
      <c r="O114" s="3"/>
    </row>
    <row r="115" spans="1:15" s="62" customFormat="1" ht="12.75">
      <c r="A115" s="1" t="s">
        <v>4</v>
      </c>
      <c r="B115" s="1"/>
      <c r="C115" s="1"/>
      <c r="D115" s="5" t="s">
        <v>36</v>
      </c>
      <c r="E115" s="74">
        <f>F115+G115+H115+I115+J115+K115+L115+M115</f>
        <v>23126</v>
      </c>
      <c r="F115" s="452">
        <f>F116+F121+F132+F179</f>
        <v>1822.8000000000002</v>
      </c>
      <c r="G115" s="142">
        <f aca="true" t="shared" si="46" ref="G115:M115">G116+G121+G132+G179</f>
        <v>144</v>
      </c>
      <c r="H115" s="462">
        <f t="shared" si="46"/>
        <v>0</v>
      </c>
      <c r="I115" s="90">
        <f t="shared" si="46"/>
        <v>0</v>
      </c>
      <c r="J115" s="94">
        <f t="shared" si="46"/>
        <v>58.2</v>
      </c>
      <c r="K115" s="474">
        <f t="shared" si="46"/>
        <v>3225</v>
      </c>
      <c r="L115" s="482">
        <f t="shared" si="46"/>
        <v>17876</v>
      </c>
      <c r="M115" s="494">
        <f t="shared" si="46"/>
        <v>0</v>
      </c>
      <c r="N115" s="3"/>
      <c r="O115" s="3"/>
    </row>
    <row r="116" spans="1:15" s="62" customFormat="1" ht="12.75">
      <c r="A116" s="1"/>
      <c r="B116" s="59" t="s">
        <v>281</v>
      </c>
      <c r="C116" s="1"/>
      <c r="D116" s="16" t="s">
        <v>88</v>
      </c>
      <c r="E116" s="74">
        <f t="shared" si="15"/>
        <v>1007.2</v>
      </c>
      <c r="F116" s="452">
        <f aca="true" t="shared" si="47" ref="F116:M119">F117</f>
        <v>0</v>
      </c>
      <c r="G116" s="142">
        <f t="shared" si="47"/>
        <v>0</v>
      </c>
      <c r="H116" s="462">
        <f t="shared" si="47"/>
        <v>0</v>
      </c>
      <c r="I116" s="90">
        <f t="shared" si="47"/>
        <v>0</v>
      </c>
      <c r="J116" s="94">
        <f t="shared" si="47"/>
        <v>0</v>
      </c>
      <c r="K116" s="474">
        <f t="shared" si="47"/>
        <v>0</v>
      </c>
      <c r="L116" s="482">
        <f t="shared" si="47"/>
        <v>0</v>
      </c>
      <c r="M116" s="494">
        <f t="shared" si="47"/>
        <v>1007.2</v>
      </c>
      <c r="N116" s="3"/>
      <c r="O116" s="3"/>
    </row>
    <row r="117" spans="1:15" s="62" customFormat="1" ht="12.75">
      <c r="A117" s="1"/>
      <c r="B117" s="59" t="s">
        <v>89</v>
      </c>
      <c r="C117" s="1"/>
      <c r="D117" s="16" t="s">
        <v>90</v>
      </c>
      <c r="E117" s="74">
        <f t="shared" si="15"/>
        <v>1007.2</v>
      </c>
      <c r="F117" s="452">
        <f t="shared" si="47"/>
        <v>0</v>
      </c>
      <c r="G117" s="142">
        <f t="shared" si="47"/>
        <v>0</v>
      </c>
      <c r="H117" s="462">
        <f t="shared" si="47"/>
        <v>0</v>
      </c>
      <c r="I117" s="90">
        <f t="shared" si="47"/>
        <v>0</v>
      </c>
      <c r="J117" s="94">
        <f t="shared" si="47"/>
        <v>0</v>
      </c>
      <c r="K117" s="474">
        <f t="shared" si="47"/>
        <v>0</v>
      </c>
      <c r="L117" s="482">
        <f t="shared" si="47"/>
        <v>0</v>
      </c>
      <c r="M117" s="494">
        <f t="shared" si="47"/>
        <v>1007.2</v>
      </c>
      <c r="N117" s="3"/>
      <c r="O117" s="3"/>
    </row>
    <row r="118" spans="1:15" s="62" customFormat="1" ht="25.5">
      <c r="A118" s="1"/>
      <c r="B118" s="59" t="s">
        <v>282</v>
      </c>
      <c r="C118" s="1"/>
      <c r="D118" s="16" t="s">
        <v>283</v>
      </c>
      <c r="E118" s="74">
        <f t="shared" si="15"/>
        <v>1007.2</v>
      </c>
      <c r="F118" s="452">
        <f t="shared" si="47"/>
        <v>0</v>
      </c>
      <c r="G118" s="142">
        <f t="shared" si="47"/>
        <v>0</v>
      </c>
      <c r="H118" s="462">
        <f t="shared" si="47"/>
        <v>0</v>
      </c>
      <c r="I118" s="90">
        <f t="shared" si="47"/>
        <v>0</v>
      </c>
      <c r="J118" s="94">
        <f t="shared" si="47"/>
        <v>0</v>
      </c>
      <c r="K118" s="474">
        <f t="shared" si="47"/>
        <v>0</v>
      </c>
      <c r="L118" s="482">
        <f t="shared" si="47"/>
        <v>0</v>
      </c>
      <c r="M118" s="494">
        <f t="shared" si="47"/>
        <v>1007.2</v>
      </c>
      <c r="N118" s="3"/>
      <c r="O118" s="3"/>
    </row>
    <row r="119" spans="1:15" s="62" customFormat="1" ht="12.75">
      <c r="A119" s="1"/>
      <c r="B119" s="59"/>
      <c r="C119" s="1" t="s">
        <v>210</v>
      </c>
      <c r="D119" s="16" t="s">
        <v>211</v>
      </c>
      <c r="E119" s="74">
        <f t="shared" si="15"/>
        <v>1007.2</v>
      </c>
      <c r="F119" s="452">
        <f>F120</f>
        <v>0</v>
      </c>
      <c r="G119" s="142">
        <f t="shared" si="47"/>
        <v>0</v>
      </c>
      <c r="H119" s="462">
        <f t="shared" si="47"/>
        <v>0</v>
      </c>
      <c r="I119" s="90">
        <f t="shared" si="47"/>
        <v>0</v>
      </c>
      <c r="J119" s="94">
        <f t="shared" si="47"/>
        <v>0</v>
      </c>
      <c r="K119" s="474">
        <f t="shared" si="47"/>
        <v>0</v>
      </c>
      <c r="L119" s="482">
        <f t="shared" si="47"/>
        <v>0</v>
      </c>
      <c r="M119" s="494">
        <f t="shared" si="47"/>
        <v>1007.2</v>
      </c>
      <c r="N119" s="3"/>
      <c r="O119" s="3"/>
    </row>
    <row r="120" spans="1:15" s="62" customFormat="1" ht="12.75">
      <c r="A120" s="1"/>
      <c r="B120" s="59"/>
      <c r="C120" s="1" t="s">
        <v>8</v>
      </c>
      <c r="D120" s="16" t="s">
        <v>216</v>
      </c>
      <c r="E120" s="74">
        <f t="shared" si="15"/>
        <v>1007.2</v>
      </c>
      <c r="F120" s="452"/>
      <c r="G120" s="142"/>
      <c r="H120" s="462"/>
      <c r="I120" s="90"/>
      <c r="J120" s="94"/>
      <c r="K120" s="474"/>
      <c r="L120" s="482"/>
      <c r="M120" s="494">
        <v>1007.2</v>
      </c>
      <c r="N120" s="3"/>
      <c r="O120" s="3"/>
    </row>
    <row r="121" spans="1:15" s="62" customFormat="1" ht="12.75">
      <c r="A121" s="1"/>
      <c r="B121" s="59" t="s">
        <v>91</v>
      </c>
      <c r="C121" s="1"/>
      <c r="D121" s="16" t="s">
        <v>92</v>
      </c>
      <c r="E121" s="74">
        <f>E122+E125+E128</f>
        <v>815.6</v>
      </c>
      <c r="F121" s="451">
        <f aca="true" t="shared" si="48" ref="F121:M121">F122+F125+F128</f>
        <v>1822.8000000000002</v>
      </c>
      <c r="G121" s="141">
        <f t="shared" si="48"/>
        <v>0</v>
      </c>
      <c r="H121" s="461">
        <f t="shared" si="48"/>
        <v>0</v>
      </c>
      <c r="I121" s="89">
        <f t="shared" si="48"/>
        <v>0</v>
      </c>
      <c r="J121" s="93">
        <f t="shared" si="48"/>
        <v>0</v>
      </c>
      <c r="K121" s="471">
        <f t="shared" si="48"/>
        <v>0</v>
      </c>
      <c r="L121" s="481">
        <f t="shared" si="48"/>
        <v>0</v>
      </c>
      <c r="M121" s="491">
        <f t="shared" si="48"/>
        <v>-1007.2</v>
      </c>
      <c r="N121" s="3"/>
      <c r="O121" s="3"/>
    </row>
    <row r="122" spans="1:15" s="62" customFormat="1" ht="12.75">
      <c r="A122" s="1"/>
      <c r="B122" s="59" t="s">
        <v>93</v>
      </c>
      <c r="C122" s="1"/>
      <c r="D122" s="16" t="s">
        <v>94</v>
      </c>
      <c r="E122" s="74">
        <f t="shared" si="15"/>
        <v>-1007.2</v>
      </c>
      <c r="F122" s="452">
        <f>F123</f>
        <v>0</v>
      </c>
      <c r="G122" s="142">
        <f>G123</f>
        <v>0</v>
      </c>
      <c r="H122" s="462">
        <f aca="true" t="shared" si="49" ref="G122:M123">H123</f>
        <v>0</v>
      </c>
      <c r="I122" s="90">
        <f t="shared" si="49"/>
        <v>0</v>
      </c>
      <c r="J122" s="94">
        <f t="shared" si="49"/>
        <v>0</v>
      </c>
      <c r="K122" s="474">
        <f t="shared" si="49"/>
        <v>0</v>
      </c>
      <c r="L122" s="482">
        <f t="shared" si="49"/>
        <v>0</v>
      </c>
      <c r="M122" s="494">
        <f t="shared" si="49"/>
        <v>-1007.2</v>
      </c>
      <c r="N122" s="3"/>
      <c r="O122" s="3"/>
    </row>
    <row r="123" spans="1:15" s="62" customFormat="1" ht="12.75">
      <c r="A123" s="1"/>
      <c r="B123" s="59"/>
      <c r="C123" s="1" t="s">
        <v>210</v>
      </c>
      <c r="D123" s="16" t="s">
        <v>211</v>
      </c>
      <c r="E123" s="74">
        <f t="shared" si="15"/>
        <v>-1007.2</v>
      </c>
      <c r="F123" s="452">
        <f>F124</f>
        <v>0</v>
      </c>
      <c r="G123" s="142">
        <f t="shared" si="49"/>
        <v>0</v>
      </c>
      <c r="H123" s="462">
        <f t="shared" si="49"/>
        <v>0</v>
      </c>
      <c r="I123" s="90">
        <f t="shared" si="49"/>
        <v>0</v>
      </c>
      <c r="J123" s="94">
        <f t="shared" si="49"/>
        <v>0</v>
      </c>
      <c r="K123" s="474">
        <f t="shared" si="49"/>
        <v>0</v>
      </c>
      <c r="L123" s="482">
        <f t="shared" si="49"/>
        <v>0</v>
      </c>
      <c r="M123" s="494">
        <f t="shared" si="49"/>
        <v>-1007.2</v>
      </c>
      <c r="N123" s="3"/>
      <c r="O123" s="3"/>
    </row>
    <row r="124" spans="1:15" s="62" customFormat="1" ht="12.75">
      <c r="A124" s="1"/>
      <c r="B124" s="59"/>
      <c r="C124" s="1" t="s">
        <v>8</v>
      </c>
      <c r="D124" s="16" t="s">
        <v>216</v>
      </c>
      <c r="E124" s="74">
        <f t="shared" si="15"/>
        <v>-1007.2</v>
      </c>
      <c r="F124" s="452"/>
      <c r="G124" s="142"/>
      <c r="H124" s="462"/>
      <c r="I124" s="90"/>
      <c r="J124" s="94"/>
      <c r="K124" s="474"/>
      <c r="L124" s="482"/>
      <c r="M124" s="494">
        <v>-1007.2</v>
      </c>
      <c r="N124" s="3"/>
      <c r="O124" s="3"/>
    </row>
    <row r="125" spans="1:15" s="62" customFormat="1" ht="38.25">
      <c r="A125" s="1"/>
      <c r="B125" s="59" t="s">
        <v>279</v>
      </c>
      <c r="C125" s="1"/>
      <c r="D125" s="16" t="s">
        <v>280</v>
      </c>
      <c r="E125" s="74">
        <f t="shared" si="15"/>
        <v>1197.9</v>
      </c>
      <c r="F125" s="452">
        <f>F126</f>
        <v>1197.9</v>
      </c>
      <c r="G125" s="142">
        <f>G126</f>
        <v>0</v>
      </c>
      <c r="H125" s="462">
        <f aca="true" t="shared" si="50" ref="G125:M126">H126</f>
        <v>0</v>
      </c>
      <c r="I125" s="90">
        <f t="shared" si="50"/>
        <v>0</v>
      </c>
      <c r="J125" s="94">
        <f t="shared" si="50"/>
        <v>0</v>
      </c>
      <c r="K125" s="474">
        <f t="shared" si="50"/>
        <v>0</v>
      </c>
      <c r="L125" s="482">
        <f t="shared" si="50"/>
        <v>0</v>
      </c>
      <c r="M125" s="494">
        <f t="shared" si="50"/>
        <v>0</v>
      </c>
      <c r="N125" s="3"/>
      <c r="O125" s="3"/>
    </row>
    <row r="126" spans="1:15" s="62" customFormat="1" ht="12.75">
      <c r="A126" s="1"/>
      <c r="B126" s="59"/>
      <c r="C126" s="1" t="s">
        <v>210</v>
      </c>
      <c r="D126" s="16" t="s">
        <v>211</v>
      </c>
      <c r="E126" s="74">
        <f t="shared" si="15"/>
        <v>1197.9</v>
      </c>
      <c r="F126" s="452">
        <f>F127</f>
        <v>1197.9</v>
      </c>
      <c r="G126" s="142">
        <f t="shared" si="50"/>
        <v>0</v>
      </c>
      <c r="H126" s="462">
        <f t="shared" si="50"/>
        <v>0</v>
      </c>
      <c r="I126" s="90">
        <f t="shared" si="50"/>
        <v>0</v>
      </c>
      <c r="J126" s="94">
        <f t="shared" si="50"/>
        <v>0</v>
      </c>
      <c r="K126" s="474">
        <f t="shared" si="50"/>
        <v>0</v>
      </c>
      <c r="L126" s="482">
        <f t="shared" si="50"/>
        <v>0</v>
      </c>
      <c r="M126" s="494">
        <f t="shared" si="50"/>
        <v>0</v>
      </c>
      <c r="N126" s="3"/>
      <c r="O126" s="3"/>
    </row>
    <row r="127" spans="1:15" s="62" customFormat="1" ht="12.75">
      <c r="A127" s="1"/>
      <c r="B127" s="59"/>
      <c r="C127" s="1" t="s">
        <v>8</v>
      </c>
      <c r="D127" s="16" t="s">
        <v>216</v>
      </c>
      <c r="E127" s="74">
        <f t="shared" si="15"/>
        <v>1197.9</v>
      </c>
      <c r="F127" s="452">
        <v>1197.9</v>
      </c>
      <c r="G127" s="142"/>
      <c r="H127" s="462"/>
      <c r="I127" s="90"/>
      <c r="J127" s="94"/>
      <c r="K127" s="474"/>
      <c r="L127" s="482"/>
      <c r="M127" s="494"/>
      <c r="N127" s="3"/>
      <c r="O127" s="3"/>
    </row>
    <row r="128" spans="1:15" s="62" customFormat="1" ht="12.75">
      <c r="A128" s="1"/>
      <c r="B128" s="36" t="s">
        <v>365</v>
      </c>
      <c r="C128" s="36"/>
      <c r="D128" s="5" t="s">
        <v>114</v>
      </c>
      <c r="E128" s="74">
        <f>E129</f>
        <v>624.9</v>
      </c>
      <c r="F128" s="451">
        <f aca="true" t="shared" si="51" ref="F128:M130">F129</f>
        <v>624.9</v>
      </c>
      <c r="G128" s="141">
        <f t="shared" si="51"/>
        <v>0</v>
      </c>
      <c r="H128" s="461">
        <f t="shared" si="51"/>
        <v>0</v>
      </c>
      <c r="I128" s="89">
        <f t="shared" si="51"/>
        <v>0</v>
      </c>
      <c r="J128" s="93">
        <f t="shared" si="51"/>
        <v>0</v>
      </c>
      <c r="K128" s="471">
        <f t="shared" si="51"/>
        <v>0</v>
      </c>
      <c r="L128" s="481">
        <f t="shared" si="51"/>
        <v>0</v>
      </c>
      <c r="M128" s="491">
        <f t="shared" si="51"/>
        <v>0</v>
      </c>
      <c r="N128" s="3"/>
      <c r="O128" s="3"/>
    </row>
    <row r="129" spans="1:15" s="62" customFormat="1" ht="12.75">
      <c r="A129" s="1"/>
      <c r="B129" s="36" t="s">
        <v>366</v>
      </c>
      <c r="C129" s="36"/>
      <c r="D129" s="5" t="s">
        <v>115</v>
      </c>
      <c r="E129" s="74">
        <f>E130</f>
        <v>624.9</v>
      </c>
      <c r="F129" s="451">
        <f t="shared" si="51"/>
        <v>624.9</v>
      </c>
      <c r="G129" s="141">
        <f t="shared" si="51"/>
        <v>0</v>
      </c>
      <c r="H129" s="461">
        <f t="shared" si="51"/>
        <v>0</v>
      </c>
      <c r="I129" s="89">
        <f t="shared" si="51"/>
        <v>0</v>
      </c>
      <c r="J129" s="93">
        <f t="shared" si="51"/>
        <v>0</v>
      </c>
      <c r="K129" s="471">
        <f t="shared" si="51"/>
        <v>0</v>
      </c>
      <c r="L129" s="481">
        <f t="shared" si="51"/>
        <v>0</v>
      </c>
      <c r="M129" s="491">
        <f t="shared" si="51"/>
        <v>0</v>
      </c>
      <c r="N129" s="3"/>
      <c r="O129" s="3"/>
    </row>
    <row r="130" spans="1:15" s="62" customFormat="1" ht="12.75">
      <c r="A130" s="1"/>
      <c r="B130" s="36"/>
      <c r="C130" s="1" t="s">
        <v>210</v>
      </c>
      <c r="D130" s="16" t="s">
        <v>211</v>
      </c>
      <c r="E130" s="74">
        <f>E131</f>
        <v>624.9</v>
      </c>
      <c r="F130" s="451">
        <f t="shared" si="51"/>
        <v>624.9</v>
      </c>
      <c r="G130" s="141">
        <f t="shared" si="51"/>
        <v>0</v>
      </c>
      <c r="H130" s="461">
        <f t="shared" si="51"/>
        <v>0</v>
      </c>
      <c r="I130" s="89">
        <f t="shared" si="51"/>
        <v>0</v>
      </c>
      <c r="J130" s="93">
        <f t="shared" si="51"/>
        <v>0</v>
      </c>
      <c r="K130" s="471">
        <f t="shared" si="51"/>
        <v>0</v>
      </c>
      <c r="L130" s="481">
        <f t="shared" si="51"/>
        <v>0</v>
      </c>
      <c r="M130" s="491">
        <f t="shared" si="51"/>
        <v>0</v>
      </c>
      <c r="N130" s="3"/>
      <c r="O130" s="3"/>
    </row>
    <row r="131" spans="1:15" s="62" customFormat="1" ht="12.75">
      <c r="A131" s="1"/>
      <c r="B131" s="36"/>
      <c r="C131" s="1" t="s">
        <v>8</v>
      </c>
      <c r="D131" s="16" t="s">
        <v>216</v>
      </c>
      <c r="E131" s="74">
        <f>F131+G131+H131+I131+J131+K131+L131+M131</f>
        <v>624.9</v>
      </c>
      <c r="F131" s="452">
        <f>500+124.9</f>
        <v>624.9</v>
      </c>
      <c r="G131" s="142"/>
      <c r="H131" s="462"/>
      <c r="I131" s="90"/>
      <c r="J131" s="94"/>
      <c r="K131" s="474"/>
      <c r="L131" s="482"/>
      <c r="M131" s="494"/>
      <c r="N131" s="3"/>
      <c r="O131" s="3"/>
    </row>
    <row r="132" spans="1:15" s="62" customFormat="1" ht="12.75">
      <c r="A132" s="81"/>
      <c r="B132" s="59" t="s">
        <v>37</v>
      </c>
      <c r="C132" s="1"/>
      <c r="D132" s="16" t="s">
        <v>213</v>
      </c>
      <c r="E132" s="74">
        <f>F132+G132+H132+I132+J132+K132+L132+M132</f>
        <v>21159.2</v>
      </c>
      <c r="F132" s="452">
        <f aca="true" t="shared" si="52" ref="F132:M132">F133+F149+F174</f>
        <v>0</v>
      </c>
      <c r="G132" s="142">
        <f t="shared" si="52"/>
        <v>0</v>
      </c>
      <c r="H132" s="462">
        <f t="shared" si="52"/>
        <v>0</v>
      </c>
      <c r="I132" s="90">
        <f t="shared" si="52"/>
        <v>0</v>
      </c>
      <c r="J132" s="94">
        <f t="shared" si="52"/>
        <v>58.2</v>
      </c>
      <c r="K132" s="474">
        <f t="shared" si="52"/>
        <v>3225</v>
      </c>
      <c r="L132" s="482">
        <f t="shared" si="52"/>
        <v>17876</v>
      </c>
      <c r="M132" s="494">
        <f t="shared" si="52"/>
        <v>0</v>
      </c>
      <c r="N132" s="3"/>
      <c r="O132" s="3"/>
    </row>
    <row r="133" spans="1:15" s="62" customFormat="1" ht="25.5">
      <c r="A133" s="81"/>
      <c r="B133" s="59" t="s">
        <v>209</v>
      </c>
      <c r="C133" s="1"/>
      <c r="D133" s="16" t="s">
        <v>3</v>
      </c>
      <c r="E133" s="74">
        <f t="shared" si="15"/>
        <v>14006</v>
      </c>
      <c r="F133" s="452">
        <f>F134</f>
        <v>0</v>
      </c>
      <c r="G133" s="142">
        <f aca="true" t="shared" si="53" ref="G133:M135">G134</f>
        <v>0</v>
      </c>
      <c r="H133" s="462">
        <f t="shared" si="53"/>
        <v>0</v>
      </c>
      <c r="I133" s="90">
        <f t="shared" si="53"/>
        <v>0</v>
      </c>
      <c r="J133" s="94">
        <f t="shared" si="53"/>
        <v>0</v>
      </c>
      <c r="K133" s="474">
        <f t="shared" si="53"/>
        <v>3225</v>
      </c>
      <c r="L133" s="482">
        <f t="shared" si="53"/>
        <v>10781</v>
      </c>
      <c r="M133" s="494">
        <f t="shared" si="53"/>
        <v>0</v>
      </c>
      <c r="N133" s="3"/>
      <c r="O133" s="3"/>
    </row>
    <row r="134" spans="1:15" s="62" customFormat="1" ht="25.5">
      <c r="A134" s="81"/>
      <c r="B134" s="59" t="s">
        <v>176</v>
      </c>
      <c r="C134" s="1"/>
      <c r="D134" s="2" t="s">
        <v>147</v>
      </c>
      <c r="E134" s="74">
        <f t="shared" si="15"/>
        <v>14006</v>
      </c>
      <c r="F134" s="452">
        <f>F135</f>
        <v>0</v>
      </c>
      <c r="G134" s="142">
        <f t="shared" si="53"/>
        <v>0</v>
      </c>
      <c r="H134" s="462">
        <f t="shared" si="53"/>
        <v>0</v>
      </c>
      <c r="I134" s="90">
        <f t="shared" si="53"/>
        <v>0</v>
      </c>
      <c r="J134" s="94">
        <f t="shared" si="53"/>
        <v>0</v>
      </c>
      <c r="K134" s="474">
        <f t="shared" si="53"/>
        <v>3225</v>
      </c>
      <c r="L134" s="482">
        <f t="shared" si="53"/>
        <v>10781</v>
      </c>
      <c r="M134" s="494">
        <f t="shared" si="53"/>
        <v>0</v>
      </c>
      <c r="N134" s="3"/>
      <c r="O134" s="3"/>
    </row>
    <row r="135" spans="1:15" s="62" customFormat="1" ht="12.75">
      <c r="A135" s="81"/>
      <c r="B135" s="59"/>
      <c r="C135" s="1" t="s">
        <v>210</v>
      </c>
      <c r="D135" s="2" t="s">
        <v>211</v>
      </c>
      <c r="E135" s="74">
        <f t="shared" si="15"/>
        <v>14006</v>
      </c>
      <c r="F135" s="452">
        <f>F136</f>
        <v>0</v>
      </c>
      <c r="G135" s="142">
        <f t="shared" si="53"/>
        <v>0</v>
      </c>
      <c r="H135" s="462">
        <f t="shared" si="53"/>
        <v>0</v>
      </c>
      <c r="I135" s="90">
        <f t="shared" si="53"/>
        <v>0</v>
      </c>
      <c r="J135" s="94">
        <f t="shared" si="53"/>
        <v>0</v>
      </c>
      <c r="K135" s="474">
        <f t="shared" si="53"/>
        <v>3225</v>
      </c>
      <c r="L135" s="482">
        <f t="shared" si="53"/>
        <v>10781</v>
      </c>
      <c r="M135" s="494">
        <f t="shared" si="53"/>
        <v>0</v>
      </c>
      <c r="N135" s="3"/>
      <c r="O135" s="3"/>
    </row>
    <row r="136" spans="1:15" s="62" customFormat="1" ht="12.75">
      <c r="A136" s="81"/>
      <c r="B136" s="59"/>
      <c r="C136" s="1" t="s">
        <v>8</v>
      </c>
      <c r="D136" s="2" t="s">
        <v>976</v>
      </c>
      <c r="E136" s="74">
        <f t="shared" si="15"/>
        <v>14006</v>
      </c>
      <c r="F136" s="452">
        <f>F137+F138+F139+F140+F141+F142+F143+F144+F145+F146+F147+F148</f>
        <v>0</v>
      </c>
      <c r="G136" s="142">
        <f aca="true" t="shared" si="54" ref="G136:M136">G137+G138+G139+G140+G141+G142+G143+G144+G145+G146+G147+G148</f>
        <v>0</v>
      </c>
      <c r="H136" s="462">
        <f t="shared" si="54"/>
        <v>0</v>
      </c>
      <c r="I136" s="90">
        <f t="shared" si="54"/>
        <v>0</v>
      </c>
      <c r="J136" s="94">
        <f t="shared" si="54"/>
        <v>0</v>
      </c>
      <c r="K136" s="474">
        <f t="shared" si="54"/>
        <v>3225</v>
      </c>
      <c r="L136" s="482">
        <f>L137+L138+L139+L140+L141+L142+L143+L144+L145+L146+L147+L148</f>
        <v>10781</v>
      </c>
      <c r="M136" s="494">
        <f t="shared" si="54"/>
        <v>0</v>
      </c>
      <c r="N136" s="3"/>
      <c r="O136" s="3"/>
    </row>
    <row r="137" spans="1:15" s="62" customFormat="1" ht="38.25">
      <c r="A137" s="81"/>
      <c r="B137" s="59"/>
      <c r="C137" s="1"/>
      <c r="D137" s="57" t="s">
        <v>148</v>
      </c>
      <c r="E137" s="74">
        <f t="shared" si="15"/>
        <v>550</v>
      </c>
      <c r="F137" s="452"/>
      <c r="G137" s="142"/>
      <c r="H137" s="462"/>
      <c r="I137" s="90"/>
      <c r="J137" s="94"/>
      <c r="K137" s="474"/>
      <c r="L137" s="482">
        <v>550</v>
      </c>
      <c r="M137" s="494"/>
      <c r="N137" s="3"/>
      <c r="O137" s="3"/>
    </row>
    <row r="138" spans="1:15" s="62" customFormat="1" ht="38.25">
      <c r="A138" s="81"/>
      <c r="B138" s="59"/>
      <c r="C138" s="1"/>
      <c r="D138" s="57" t="s">
        <v>149</v>
      </c>
      <c r="E138" s="74">
        <f t="shared" si="15"/>
        <v>550</v>
      </c>
      <c r="F138" s="452"/>
      <c r="G138" s="142"/>
      <c r="H138" s="462"/>
      <c r="I138" s="90"/>
      <c r="J138" s="94"/>
      <c r="K138" s="474"/>
      <c r="L138" s="482">
        <v>550</v>
      </c>
      <c r="M138" s="494"/>
      <c r="N138" s="3"/>
      <c r="O138" s="3"/>
    </row>
    <row r="139" spans="1:15" s="62" customFormat="1" ht="38.25">
      <c r="A139" s="81"/>
      <c r="B139" s="59"/>
      <c r="C139" s="1"/>
      <c r="D139" s="57" t="s">
        <v>152</v>
      </c>
      <c r="E139" s="74">
        <f t="shared" si="15"/>
        <v>600</v>
      </c>
      <c r="F139" s="452"/>
      <c r="G139" s="142"/>
      <c r="H139" s="462"/>
      <c r="I139" s="90"/>
      <c r="J139" s="94"/>
      <c r="K139" s="474"/>
      <c r="L139" s="482">
        <v>600</v>
      </c>
      <c r="M139" s="494"/>
      <c r="N139" s="3"/>
      <c r="O139" s="3"/>
    </row>
    <row r="140" spans="1:15" s="62" customFormat="1" ht="38.25">
      <c r="A140" s="81"/>
      <c r="B140" s="59"/>
      <c r="C140" s="1"/>
      <c r="D140" s="57" t="s">
        <v>272</v>
      </c>
      <c r="E140" s="74">
        <f t="shared" si="15"/>
        <v>2231</v>
      </c>
      <c r="F140" s="452"/>
      <c r="G140" s="142"/>
      <c r="H140" s="462"/>
      <c r="I140" s="90"/>
      <c r="J140" s="94"/>
      <c r="K140" s="474"/>
      <c r="L140" s="482">
        <v>2231</v>
      </c>
      <c r="M140" s="494"/>
      <c r="N140" s="3"/>
      <c r="O140" s="3"/>
    </row>
    <row r="141" spans="1:15" s="62" customFormat="1" ht="38.25">
      <c r="A141" s="81"/>
      <c r="B141" s="59"/>
      <c r="C141" s="1"/>
      <c r="D141" s="57" t="s">
        <v>157</v>
      </c>
      <c r="E141" s="74">
        <f t="shared" si="15"/>
        <v>1100</v>
      </c>
      <c r="F141" s="452"/>
      <c r="G141" s="142"/>
      <c r="H141" s="462"/>
      <c r="I141" s="90"/>
      <c r="J141" s="94"/>
      <c r="K141" s="474"/>
      <c r="L141" s="482">
        <v>1100</v>
      </c>
      <c r="M141" s="494"/>
      <c r="N141" s="3"/>
      <c r="O141" s="3"/>
    </row>
    <row r="142" spans="1:15" s="62" customFormat="1" ht="38.25">
      <c r="A142" s="81"/>
      <c r="B142" s="59"/>
      <c r="C142" s="1"/>
      <c r="D142" s="57" t="s">
        <v>155</v>
      </c>
      <c r="E142" s="74">
        <f t="shared" si="15"/>
        <v>825</v>
      </c>
      <c r="F142" s="452"/>
      <c r="G142" s="142"/>
      <c r="H142" s="462"/>
      <c r="I142" s="90"/>
      <c r="J142" s="94"/>
      <c r="K142" s="474"/>
      <c r="L142" s="482">
        <v>825</v>
      </c>
      <c r="M142" s="494"/>
      <c r="N142" s="3"/>
      <c r="O142" s="3"/>
    </row>
    <row r="143" spans="1:15" s="62" customFormat="1" ht="38.25">
      <c r="A143" s="81"/>
      <c r="B143" s="59"/>
      <c r="C143" s="1"/>
      <c r="D143" s="57" t="s">
        <v>156</v>
      </c>
      <c r="E143" s="74">
        <f t="shared" si="15"/>
        <v>550</v>
      </c>
      <c r="F143" s="452"/>
      <c r="G143" s="142"/>
      <c r="H143" s="462"/>
      <c r="I143" s="90"/>
      <c r="J143" s="94"/>
      <c r="K143" s="474"/>
      <c r="L143" s="482">
        <v>550</v>
      </c>
      <c r="M143" s="494"/>
      <c r="N143" s="3"/>
      <c r="O143" s="3"/>
    </row>
    <row r="144" spans="1:15" s="62" customFormat="1" ht="38.25">
      <c r="A144" s="81"/>
      <c r="B144" s="59"/>
      <c r="C144" s="1"/>
      <c r="D144" s="57" t="s">
        <v>162</v>
      </c>
      <c r="E144" s="74">
        <f t="shared" si="15"/>
        <v>1700</v>
      </c>
      <c r="F144" s="452"/>
      <c r="G144" s="142"/>
      <c r="H144" s="462"/>
      <c r="I144" s="90"/>
      <c r="J144" s="94"/>
      <c r="K144" s="474"/>
      <c r="L144" s="482">
        <v>1700</v>
      </c>
      <c r="M144" s="494"/>
      <c r="N144" s="3"/>
      <c r="O144" s="3"/>
    </row>
    <row r="145" spans="1:15" s="62" customFormat="1" ht="38.25">
      <c r="A145" s="81"/>
      <c r="B145" s="59"/>
      <c r="C145" s="1"/>
      <c r="D145" s="2" t="s">
        <v>151</v>
      </c>
      <c r="E145" s="74">
        <f t="shared" si="15"/>
        <v>1575</v>
      </c>
      <c r="F145" s="452"/>
      <c r="G145" s="142"/>
      <c r="H145" s="462"/>
      <c r="I145" s="90"/>
      <c r="J145" s="94"/>
      <c r="K145" s="474"/>
      <c r="L145" s="482">
        <v>1575</v>
      </c>
      <c r="M145" s="494"/>
      <c r="N145" s="3"/>
      <c r="O145" s="3"/>
    </row>
    <row r="146" spans="1:15" s="62" customFormat="1" ht="38.25">
      <c r="A146" s="81"/>
      <c r="B146" s="59"/>
      <c r="C146" s="1"/>
      <c r="D146" s="2" t="s">
        <v>153</v>
      </c>
      <c r="E146" s="74">
        <f t="shared" si="15"/>
        <v>1100</v>
      </c>
      <c r="F146" s="452"/>
      <c r="G146" s="142"/>
      <c r="H146" s="462"/>
      <c r="I146" s="90"/>
      <c r="J146" s="94"/>
      <c r="K146" s="474"/>
      <c r="L146" s="482">
        <v>1100</v>
      </c>
      <c r="M146" s="494"/>
      <c r="N146" s="3"/>
      <c r="O146" s="3"/>
    </row>
    <row r="147" spans="1:15" s="62" customFormat="1" ht="38.25">
      <c r="A147" s="81"/>
      <c r="B147" s="59"/>
      <c r="C147" s="1"/>
      <c r="D147" s="2" t="s">
        <v>150</v>
      </c>
      <c r="E147" s="74">
        <f t="shared" si="15"/>
        <v>1875</v>
      </c>
      <c r="F147" s="452"/>
      <c r="G147" s="142"/>
      <c r="H147" s="462"/>
      <c r="I147" s="90"/>
      <c r="J147" s="94"/>
      <c r="K147" s="474">
        <v>1875</v>
      </c>
      <c r="L147" s="482"/>
      <c r="M147" s="494"/>
      <c r="N147" s="3"/>
      <c r="O147" s="3"/>
    </row>
    <row r="148" spans="1:15" s="62" customFormat="1" ht="38.25">
      <c r="A148" s="81"/>
      <c r="B148" s="59"/>
      <c r="C148" s="1"/>
      <c r="D148" s="2" t="s">
        <v>154</v>
      </c>
      <c r="E148" s="74">
        <f t="shared" si="15"/>
        <v>1350</v>
      </c>
      <c r="F148" s="452"/>
      <c r="G148" s="142"/>
      <c r="H148" s="462"/>
      <c r="I148" s="90"/>
      <c r="J148" s="94"/>
      <c r="K148" s="474">
        <v>1350</v>
      </c>
      <c r="L148" s="482"/>
      <c r="M148" s="494"/>
      <c r="N148" s="3"/>
      <c r="O148" s="3"/>
    </row>
    <row r="149" spans="1:15" s="62" customFormat="1" ht="25.5">
      <c r="A149" s="81"/>
      <c r="B149" s="59" t="s">
        <v>39</v>
      </c>
      <c r="C149" s="1"/>
      <c r="D149" s="16" t="s">
        <v>40</v>
      </c>
      <c r="E149" s="74">
        <f>E150+E153+E156+E159+E162+E165+E168+E171</f>
        <v>7091.5</v>
      </c>
      <c r="F149" s="451">
        <f aca="true" t="shared" si="55" ref="F149:M149">F150+F153+F156+F159+F162+F165+F168+F171</f>
        <v>0</v>
      </c>
      <c r="G149" s="141">
        <f t="shared" si="55"/>
        <v>0</v>
      </c>
      <c r="H149" s="461">
        <f t="shared" si="55"/>
        <v>0</v>
      </c>
      <c r="I149" s="89">
        <f t="shared" si="55"/>
        <v>0</v>
      </c>
      <c r="J149" s="93">
        <f t="shared" si="55"/>
        <v>0</v>
      </c>
      <c r="K149" s="471">
        <f t="shared" si="55"/>
        <v>0</v>
      </c>
      <c r="L149" s="481">
        <f t="shared" si="55"/>
        <v>7091.5</v>
      </c>
      <c r="M149" s="491">
        <f t="shared" si="55"/>
        <v>0</v>
      </c>
      <c r="N149" s="3"/>
      <c r="O149" s="3"/>
    </row>
    <row r="150" spans="1:15" s="62" customFormat="1" ht="12.75">
      <c r="A150" s="81"/>
      <c r="B150" s="59" t="s">
        <v>249</v>
      </c>
      <c r="C150" s="1"/>
      <c r="D150" s="16" t="s">
        <v>158</v>
      </c>
      <c r="E150" s="74">
        <f t="shared" si="15"/>
        <v>1801</v>
      </c>
      <c r="F150" s="452">
        <f>F151</f>
        <v>0</v>
      </c>
      <c r="G150" s="142">
        <f aca="true" t="shared" si="56" ref="G150:M151">G151</f>
        <v>0</v>
      </c>
      <c r="H150" s="462">
        <f t="shared" si="56"/>
        <v>0</v>
      </c>
      <c r="I150" s="90">
        <f t="shared" si="56"/>
        <v>0</v>
      </c>
      <c r="J150" s="94">
        <f t="shared" si="56"/>
        <v>0</v>
      </c>
      <c r="K150" s="474">
        <f t="shared" si="56"/>
        <v>0</v>
      </c>
      <c r="L150" s="482">
        <f t="shared" si="56"/>
        <v>1801</v>
      </c>
      <c r="M150" s="494">
        <f t="shared" si="56"/>
        <v>0</v>
      </c>
      <c r="N150" s="3"/>
      <c r="O150" s="3"/>
    </row>
    <row r="151" spans="1:15" s="62" customFormat="1" ht="12.75">
      <c r="A151" s="81"/>
      <c r="B151" s="59"/>
      <c r="C151" s="1" t="s">
        <v>210</v>
      </c>
      <c r="D151" s="16" t="s">
        <v>211</v>
      </c>
      <c r="E151" s="74">
        <f t="shared" si="15"/>
        <v>1801</v>
      </c>
      <c r="F151" s="452">
        <f>F152</f>
        <v>0</v>
      </c>
      <c r="G151" s="142">
        <f t="shared" si="56"/>
        <v>0</v>
      </c>
      <c r="H151" s="462">
        <f t="shared" si="56"/>
        <v>0</v>
      </c>
      <c r="I151" s="90">
        <f t="shared" si="56"/>
        <v>0</v>
      </c>
      <c r="J151" s="94">
        <f t="shared" si="56"/>
        <v>0</v>
      </c>
      <c r="K151" s="474">
        <f t="shared" si="56"/>
        <v>0</v>
      </c>
      <c r="L151" s="482">
        <f t="shared" si="56"/>
        <v>1801</v>
      </c>
      <c r="M151" s="494">
        <f t="shared" si="56"/>
        <v>0</v>
      </c>
      <c r="N151" s="3"/>
      <c r="O151" s="3"/>
    </row>
    <row r="152" spans="1:15" s="62" customFormat="1" ht="12.75">
      <c r="A152" s="81"/>
      <c r="B152" s="59"/>
      <c r="C152" s="1" t="s">
        <v>8</v>
      </c>
      <c r="D152" s="16" t="s">
        <v>216</v>
      </c>
      <c r="E152" s="74">
        <f t="shared" si="15"/>
        <v>1801</v>
      </c>
      <c r="F152" s="452"/>
      <c r="G152" s="142"/>
      <c r="H152" s="462"/>
      <c r="I152" s="90"/>
      <c r="J152" s="94"/>
      <c r="K152" s="474"/>
      <c r="L152" s="482">
        <v>1801</v>
      </c>
      <c r="M152" s="494"/>
      <c r="N152" s="3"/>
      <c r="O152" s="3"/>
    </row>
    <row r="153" spans="1:15" s="62" customFormat="1" ht="12.75">
      <c r="A153" s="81"/>
      <c r="B153" s="59" t="s">
        <v>96</v>
      </c>
      <c r="C153" s="1"/>
      <c r="D153" s="16" t="s">
        <v>97</v>
      </c>
      <c r="E153" s="74">
        <f t="shared" si="15"/>
        <v>321.2</v>
      </c>
      <c r="F153" s="452">
        <f>F154</f>
        <v>0</v>
      </c>
      <c r="G153" s="142">
        <f aca="true" t="shared" si="57" ref="G153:M154">G154</f>
        <v>0</v>
      </c>
      <c r="H153" s="462">
        <f t="shared" si="57"/>
        <v>0</v>
      </c>
      <c r="I153" s="90">
        <f t="shared" si="57"/>
        <v>0</v>
      </c>
      <c r="J153" s="94">
        <f t="shared" si="57"/>
        <v>0</v>
      </c>
      <c r="K153" s="474">
        <f t="shared" si="57"/>
        <v>0</v>
      </c>
      <c r="L153" s="482">
        <f t="shared" si="57"/>
        <v>321.2</v>
      </c>
      <c r="M153" s="494">
        <f t="shared" si="57"/>
        <v>0</v>
      </c>
      <c r="N153" s="3"/>
      <c r="O153" s="3"/>
    </row>
    <row r="154" spans="1:15" s="62" customFormat="1" ht="12.75">
      <c r="A154" s="81"/>
      <c r="B154" s="59"/>
      <c r="C154" s="1" t="s">
        <v>210</v>
      </c>
      <c r="D154" s="16" t="s">
        <v>211</v>
      </c>
      <c r="E154" s="74">
        <f t="shared" si="15"/>
        <v>321.2</v>
      </c>
      <c r="F154" s="452">
        <f>F155</f>
        <v>0</v>
      </c>
      <c r="G154" s="142">
        <f t="shared" si="57"/>
        <v>0</v>
      </c>
      <c r="H154" s="462">
        <f t="shared" si="57"/>
        <v>0</v>
      </c>
      <c r="I154" s="90">
        <f t="shared" si="57"/>
        <v>0</v>
      </c>
      <c r="J154" s="94">
        <f t="shared" si="57"/>
        <v>0</v>
      </c>
      <c r="K154" s="474">
        <f t="shared" si="57"/>
        <v>0</v>
      </c>
      <c r="L154" s="482">
        <f t="shared" si="57"/>
        <v>321.2</v>
      </c>
      <c r="M154" s="494">
        <f t="shared" si="57"/>
        <v>0</v>
      </c>
      <c r="N154" s="3"/>
      <c r="O154" s="3"/>
    </row>
    <row r="155" spans="1:15" s="62" customFormat="1" ht="12.75">
      <c r="A155" s="81"/>
      <c r="B155" s="59"/>
      <c r="C155" s="1" t="s">
        <v>8</v>
      </c>
      <c r="D155" s="16" t="s">
        <v>216</v>
      </c>
      <c r="E155" s="74">
        <f t="shared" si="15"/>
        <v>321.2</v>
      </c>
      <c r="F155" s="452"/>
      <c r="G155" s="142"/>
      <c r="H155" s="462"/>
      <c r="I155" s="90"/>
      <c r="J155" s="94"/>
      <c r="K155" s="474"/>
      <c r="L155" s="482">
        <v>321.2</v>
      </c>
      <c r="M155" s="494"/>
      <c r="N155" s="3"/>
      <c r="O155" s="3"/>
    </row>
    <row r="156" spans="1:15" s="62" customFormat="1" ht="38.25">
      <c r="A156" s="81"/>
      <c r="B156" s="59" t="s">
        <v>275</v>
      </c>
      <c r="C156" s="1"/>
      <c r="D156" s="16" t="s">
        <v>159</v>
      </c>
      <c r="E156" s="74">
        <f t="shared" si="15"/>
        <v>2082.5</v>
      </c>
      <c r="F156" s="452">
        <f>F157</f>
        <v>0</v>
      </c>
      <c r="G156" s="142">
        <f aca="true" t="shared" si="58" ref="G156:M157">G157</f>
        <v>0</v>
      </c>
      <c r="H156" s="462">
        <f t="shared" si="58"/>
        <v>0</v>
      </c>
      <c r="I156" s="90">
        <f t="shared" si="58"/>
        <v>0</v>
      </c>
      <c r="J156" s="94">
        <f t="shared" si="58"/>
        <v>0</v>
      </c>
      <c r="K156" s="474">
        <f t="shared" si="58"/>
        <v>0</v>
      </c>
      <c r="L156" s="482">
        <f t="shared" si="58"/>
        <v>2082.5</v>
      </c>
      <c r="M156" s="494">
        <f t="shared" si="58"/>
        <v>0</v>
      </c>
      <c r="N156" s="3"/>
      <c r="O156" s="3"/>
    </row>
    <row r="157" spans="1:15" s="62" customFormat="1" ht="12.75">
      <c r="A157" s="81"/>
      <c r="B157" s="59"/>
      <c r="C157" s="1" t="s">
        <v>210</v>
      </c>
      <c r="D157" s="16" t="s">
        <v>211</v>
      </c>
      <c r="E157" s="74">
        <f t="shared" si="15"/>
        <v>2082.5</v>
      </c>
      <c r="F157" s="452">
        <f>F158</f>
        <v>0</v>
      </c>
      <c r="G157" s="142">
        <f t="shared" si="58"/>
        <v>0</v>
      </c>
      <c r="H157" s="462">
        <f t="shared" si="58"/>
        <v>0</v>
      </c>
      <c r="I157" s="90">
        <f t="shared" si="58"/>
        <v>0</v>
      </c>
      <c r="J157" s="94">
        <f t="shared" si="58"/>
        <v>0</v>
      </c>
      <c r="K157" s="474">
        <f t="shared" si="58"/>
        <v>0</v>
      </c>
      <c r="L157" s="482">
        <f t="shared" si="58"/>
        <v>2082.5</v>
      </c>
      <c r="M157" s="494">
        <f t="shared" si="58"/>
        <v>0</v>
      </c>
      <c r="N157" s="3"/>
      <c r="O157" s="3"/>
    </row>
    <row r="158" spans="1:15" s="62" customFormat="1" ht="12.75">
      <c r="A158" s="81"/>
      <c r="B158" s="59"/>
      <c r="C158" s="1" t="s">
        <v>8</v>
      </c>
      <c r="D158" s="16" t="s">
        <v>216</v>
      </c>
      <c r="E158" s="74">
        <f t="shared" si="15"/>
        <v>2082.5</v>
      </c>
      <c r="F158" s="452"/>
      <c r="G158" s="142"/>
      <c r="H158" s="462"/>
      <c r="I158" s="90"/>
      <c r="J158" s="94"/>
      <c r="K158" s="474"/>
      <c r="L158" s="482">
        <v>2082.5</v>
      </c>
      <c r="M158" s="494"/>
      <c r="N158" s="3"/>
      <c r="O158" s="3"/>
    </row>
    <row r="159" spans="1:15" s="62" customFormat="1" ht="38.25">
      <c r="A159" s="81"/>
      <c r="B159" s="59" t="s">
        <v>274</v>
      </c>
      <c r="C159" s="1"/>
      <c r="D159" s="16" t="s">
        <v>160</v>
      </c>
      <c r="E159" s="74">
        <f t="shared" si="15"/>
        <v>550</v>
      </c>
      <c r="F159" s="452">
        <f>F160</f>
        <v>0</v>
      </c>
      <c r="G159" s="142">
        <f aca="true" t="shared" si="59" ref="G159:M160">G160</f>
        <v>0</v>
      </c>
      <c r="H159" s="462">
        <f t="shared" si="59"/>
        <v>0</v>
      </c>
      <c r="I159" s="90">
        <f t="shared" si="59"/>
        <v>0</v>
      </c>
      <c r="J159" s="94">
        <f t="shared" si="59"/>
        <v>0</v>
      </c>
      <c r="K159" s="474">
        <f t="shared" si="59"/>
        <v>0</v>
      </c>
      <c r="L159" s="482">
        <f t="shared" si="59"/>
        <v>550</v>
      </c>
      <c r="M159" s="494">
        <f t="shared" si="59"/>
        <v>0</v>
      </c>
      <c r="N159" s="3"/>
      <c r="O159" s="3"/>
    </row>
    <row r="160" spans="1:15" s="62" customFormat="1" ht="12.75">
      <c r="A160" s="81"/>
      <c r="B160" s="59"/>
      <c r="C160" s="1" t="s">
        <v>210</v>
      </c>
      <c r="D160" s="16" t="s">
        <v>211</v>
      </c>
      <c r="E160" s="74">
        <f aca="true" t="shared" si="60" ref="E160:E178">F160+G160+H160+I160+J160+K160+L160+M160</f>
        <v>550</v>
      </c>
      <c r="F160" s="452">
        <f>F161</f>
        <v>0</v>
      </c>
      <c r="G160" s="142">
        <f t="shared" si="59"/>
        <v>0</v>
      </c>
      <c r="H160" s="462">
        <f t="shared" si="59"/>
        <v>0</v>
      </c>
      <c r="I160" s="90">
        <f t="shared" si="59"/>
        <v>0</v>
      </c>
      <c r="J160" s="94">
        <f t="shared" si="59"/>
        <v>0</v>
      </c>
      <c r="K160" s="474">
        <f t="shared" si="59"/>
        <v>0</v>
      </c>
      <c r="L160" s="482">
        <f t="shared" si="59"/>
        <v>550</v>
      </c>
      <c r="M160" s="494">
        <f t="shared" si="59"/>
        <v>0</v>
      </c>
      <c r="N160" s="3"/>
      <c r="O160" s="3"/>
    </row>
    <row r="161" spans="1:15" s="62" customFormat="1" ht="12.75">
      <c r="A161" s="81"/>
      <c r="B161" s="59"/>
      <c r="C161" s="1" t="s">
        <v>8</v>
      </c>
      <c r="D161" s="16" t="s">
        <v>216</v>
      </c>
      <c r="E161" s="74">
        <f t="shared" si="60"/>
        <v>550</v>
      </c>
      <c r="F161" s="452"/>
      <c r="G161" s="142"/>
      <c r="H161" s="462"/>
      <c r="I161" s="90"/>
      <c r="J161" s="94"/>
      <c r="K161" s="474"/>
      <c r="L161" s="482">
        <v>550</v>
      </c>
      <c r="M161" s="494"/>
      <c r="N161" s="3"/>
      <c r="O161" s="3"/>
    </row>
    <row r="162" spans="1:15" s="62" customFormat="1" ht="38.25">
      <c r="A162" s="81"/>
      <c r="B162" s="59" t="s">
        <v>273</v>
      </c>
      <c r="C162" s="1"/>
      <c r="D162" s="16" t="s">
        <v>154</v>
      </c>
      <c r="E162" s="74">
        <f t="shared" si="60"/>
        <v>250</v>
      </c>
      <c r="F162" s="452">
        <f>F163</f>
        <v>0</v>
      </c>
      <c r="G162" s="142">
        <f aca="true" t="shared" si="61" ref="G162:M163">G163</f>
        <v>0</v>
      </c>
      <c r="H162" s="462">
        <f t="shared" si="61"/>
        <v>0</v>
      </c>
      <c r="I162" s="90">
        <f t="shared" si="61"/>
        <v>0</v>
      </c>
      <c r="J162" s="94">
        <f t="shared" si="61"/>
        <v>0</v>
      </c>
      <c r="K162" s="474">
        <f t="shared" si="61"/>
        <v>0</v>
      </c>
      <c r="L162" s="482">
        <f t="shared" si="61"/>
        <v>250</v>
      </c>
      <c r="M162" s="494">
        <f t="shared" si="61"/>
        <v>0</v>
      </c>
      <c r="N162" s="3"/>
      <c r="O162" s="3"/>
    </row>
    <row r="163" spans="1:15" s="62" customFormat="1" ht="12.75">
      <c r="A163" s="81"/>
      <c r="B163" s="59"/>
      <c r="C163" s="1" t="s">
        <v>210</v>
      </c>
      <c r="D163" s="16" t="s">
        <v>211</v>
      </c>
      <c r="E163" s="74">
        <f t="shared" si="60"/>
        <v>250</v>
      </c>
      <c r="F163" s="452">
        <f>F164</f>
        <v>0</v>
      </c>
      <c r="G163" s="142">
        <f t="shared" si="61"/>
        <v>0</v>
      </c>
      <c r="H163" s="462">
        <f t="shared" si="61"/>
        <v>0</v>
      </c>
      <c r="I163" s="90">
        <f t="shared" si="61"/>
        <v>0</v>
      </c>
      <c r="J163" s="94">
        <f t="shared" si="61"/>
        <v>0</v>
      </c>
      <c r="K163" s="474">
        <f t="shared" si="61"/>
        <v>0</v>
      </c>
      <c r="L163" s="482">
        <f t="shared" si="61"/>
        <v>250</v>
      </c>
      <c r="M163" s="494">
        <f t="shared" si="61"/>
        <v>0</v>
      </c>
      <c r="N163" s="3"/>
      <c r="O163" s="3"/>
    </row>
    <row r="164" spans="1:15" s="62" customFormat="1" ht="12.75">
      <c r="A164" s="81"/>
      <c r="B164" s="59"/>
      <c r="C164" s="1" t="s">
        <v>8</v>
      </c>
      <c r="D164" s="16" t="s">
        <v>216</v>
      </c>
      <c r="E164" s="74">
        <f t="shared" si="60"/>
        <v>250</v>
      </c>
      <c r="F164" s="452"/>
      <c r="G164" s="142"/>
      <c r="H164" s="462"/>
      <c r="I164" s="90"/>
      <c r="J164" s="94"/>
      <c r="K164" s="474"/>
      <c r="L164" s="482">
        <v>250</v>
      </c>
      <c r="M164" s="494"/>
      <c r="N164" s="3"/>
      <c r="O164" s="3"/>
    </row>
    <row r="165" spans="1:15" s="62" customFormat="1" ht="13.5" customHeight="1">
      <c r="A165" s="81"/>
      <c r="B165" s="59" t="s">
        <v>276</v>
      </c>
      <c r="C165" s="1"/>
      <c r="D165" s="16" t="s">
        <v>161</v>
      </c>
      <c r="E165" s="74">
        <f t="shared" si="60"/>
        <v>500</v>
      </c>
      <c r="F165" s="452">
        <f>F166</f>
        <v>0</v>
      </c>
      <c r="G165" s="142">
        <f aca="true" t="shared" si="62" ref="G165:M166">G166</f>
        <v>0</v>
      </c>
      <c r="H165" s="462">
        <f t="shared" si="62"/>
        <v>0</v>
      </c>
      <c r="I165" s="90">
        <f t="shared" si="62"/>
        <v>0</v>
      </c>
      <c r="J165" s="94">
        <f t="shared" si="62"/>
        <v>0</v>
      </c>
      <c r="K165" s="474">
        <f t="shared" si="62"/>
        <v>0</v>
      </c>
      <c r="L165" s="482">
        <f t="shared" si="62"/>
        <v>500</v>
      </c>
      <c r="M165" s="494">
        <f t="shared" si="62"/>
        <v>0</v>
      </c>
      <c r="N165" s="3"/>
      <c r="O165" s="3"/>
    </row>
    <row r="166" spans="1:15" s="62" customFormat="1" ht="12.75">
      <c r="A166" s="81"/>
      <c r="B166" s="59"/>
      <c r="C166" s="1" t="s">
        <v>210</v>
      </c>
      <c r="D166" s="16" t="s">
        <v>211</v>
      </c>
      <c r="E166" s="74">
        <f t="shared" si="60"/>
        <v>500</v>
      </c>
      <c r="F166" s="452">
        <f>F167</f>
        <v>0</v>
      </c>
      <c r="G166" s="142">
        <f t="shared" si="62"/>
        <v>0</v>
      </c>
      <c r="H166" s="462">
        <f t="shared" si="62"/>
        <v>0</v>
      </c>
      <c r="I166" s="90">
        <f t="shared" si="62"/>
        <v>0</v>
      </c>
      <c r="J166" s="94">
        <f t="shared" si="62"/>
        <v>0</v>
      </c>
      <c r="K166" s="474">
        <f t="shared" si="62"/>
        <v>0</v>
      </c>
      <c r="L166" s="482">
        <f t="shared" si="62"/>
        <v>500</v>
      </c>
      <c r="M166" s="494">
        <f t="shared" si="62"/>
        <v>0</v>
      </c>
      <c r="N166" s="3"/>
      <c r="O166" s="3"/>
    </row>
    <row r="167" spans="1:15" s="62" customFormat="1" ht="12.75">
      <c r="A167" s="81"/>
      <c r="B167" s="59"/>
      <c r="C167" s="1" t="s">
        <v>8</v>
      </c>
      <c r="D167" s="16" t="s">
        <v>216</v>
      </c>
      <c r="E167" s="74">
        <f t="shared" si="60"/>
        <v>500</v>
      </c>
      <c r="F167" s="452"/>
      <c r="G167" s="142"/>
      <c r="H167" s="462"/>
      <c r="I167" s="90"/>
      <c r="J167" s="94"/>
      <c r="K167" s="474"/>
      <c r="L167" s="482">
        <v>500</v>
      </c>
      <c r="M167" s="494"/>
      <c r="N167" s="3"/>
      <c r="O167" s="3"/>
    </row>
    <row r="168" spans="1:15" s="62" customFormat="1" ht="38.25">
      <c r="A168" s="81"/>
      <c r="B168" s="59" t="s">
        <v>278</v>
      </c>
      <c r="C168" s="1"/>
      <c r="D168" s="16" t="s">
        <v>284</v>
      </c>
      <c r="E168" s="74">
        <f t="shared" si="60"/>
        <v>746.8</v>
      </c>
      <c r="F168" s="452">
        <f>F169</f>
        <v>0</v>
      </c>
      <c r="G168" s="142">
        <f aca="true" t="shared" si="63" ref="G168:M169">G169</f>
        <v>0</v>
      </c>
      <c r="H168" s="462">
        <f t="shared" si="63"/>
        <v>0</v>
      </c>
      <c r="I168" s="90">
        <f t="shared" si="63"/>
        <v>0</v>
      </c>
      <c r="J168" s="94">
        <f t="shared" si="63"/>
        <v>0</v>
      </c>
      <c r="K168" s="474">
        <f t="shared" si="63"/>
        <v>0</v>
      </c>
      <c r="L168" s="482">
        <f t="shared" si="63"/>
        <v>746.8</v>
      </c>
      <c r="M168" s="494">
        <f t="shared" si="63"/>
        <v>0</v>
      </c>
      <c r="N168" s="3"/>
      <c r="O168" s="3"/>
    </row>
    <row r="169" spans="1:15" s="62" customFormat="1" ht="12.75">
      <c r="A169" s="81"/>
      <c r="B169" s="59"/>
      <c r="C169" s="1" t="s">
        <v>210</v>
      </c>
      <c r="D169" s="16" t="s">
        <v>211</v>
      </c>
      <c r="E169" s="74">
        <f t="shared" si="60"/>
        <v>746.8</v>
      </c>
      <c r="F169" s="452">
        <f>F170</f>
        <v>0</v>
      </c>
      <c r="G169" s="142">
        <f t="shared" si="63"/>
        <v>0</v>
      </c>
      <c r="H169" s="462">
        <f t="shared" si="63"/>
        <v>0</v>
      </c>
      <c r="I169" s="90">
        <f t="shared" si="63"/>
        <v>0</v>
      </c>
      <c r="J169" s="94">
        <f t="shared" si="63"/>
        <v>0</v>
      </c>
      <c r="K169" s="474">
        <f t="shared" si="63"/>
        <v>0</v>
      </c>
      <c r="L169" s="482">
        <f t="shared" si="63"/>
        <v>746.8</v>
      </c>
      <c r="M169" s="494">
        <f t="shared" si="63"/>
        <v>0</v>
      </c>
      <c r="N169" s="3"/>
      <c r="O169" s="3"/>
    </row>
    <row r="170" spans="1:15" s="62" customFormat="1" ht="12.75">
      <c r="A170" s="81"/>
      <c r="B170" s="59"/>
      <c r="C170" s="1" t="s">
        <v>8</v>
      </c>
      <c r="D170" s="16" t="s">
        <v>216</v>
      </c>
      <c r="E170" s="74">
        <f t="shared" si="60"/>
        <v>746.8</v>
      </c>
      <c r="F170" s="452"/>
      <c r="G170" s="142"/>
      <c r="H170" s="462"/>
      <c r="I170" s="90"/>
      <c r="J170" s="94"/>
      <c r="K170" s="474"/>
      <c r="L170" s="482">
        <v>746.8</v>
      </c>
      <c r="M170" s="494"/>
      <c r="N170" s="3"/>
      <c r="O170" s="3"/>
    </row>
    <row r="171" spans="1:15" s="62" customFormat="1" ht="38.25">
      <c r="A171" s="81"/>
      <c r="B171" s="59" t="s">
        <v>277</v>
      </c>
      <c r="C171" s="1"/>
      <c r="D171" s="16" t="s">
        <v>163</v>
      </c>
      <c r="E171" s="74">
        <f t="shared" si="60"/>
        <v>840</v>
      </c>
      <c r="F171" s="452">
        <f>F172</f>
        <v>0</v>
      </c>
      <c r="G171" s="142">
        <f aca="true" t="shared" si="64" ref="G171:M172">G172</f>
        <v>0</v>
      </c>
      <c r="H171" s="462">
        <f t="shared" si="64"/>
        <v>0</v>
      </c>
      <c r="I171" s="90">
        <f t="shared" si="64"/>
        <v>0</v>
      </c>
      <c r="J171" s="94">
        <f t="shared" si="64"/>
        <v>0</v>
      </c>
      <c r="K171" s="474">
        <f t="shared" si="64"/>
        <v>0</v>
      </c>
      <c r="L171" s="482">
        <f t="shared" si="64"/>
        <v>840</v>
      </c>
      <c r="M171" s="494">
        <f t="shared" si="64"/>
        <v>0</v>
      </c>
      <c r="N171" s="3"/>
      <c r="O171" s="3"/>
    </row>
    <row r="172" spans="1:15" s="62" customFormat="1" ht="12.75" customHeight="1">
      <c r="A172" s="81"/>
      <c r="B172" s="59"/>
      <c r="C172" s="1" t="s">
        <v>210</v>
      </c>
      <c r="D172" s="16" t="s">
        <v>211</v>
      </c>
      <c r="E172" s="74">
        <f t="shared" si="60"/>
        <v>840</v>
      </c>
      <c r="F172" s="452">
        <f>F173</f>
        <v>0</v>
      </c>
      <c r="G172" s="142">
        <f t="shared" si="64"/>
        <v>0</v>
      </c>
      <c r="H172" s="462">
        <f t="shared" si="64"/>
        <v>0</v>
      </c>
      <c r="I172" s="90">
        <f t="shared" si="64"/>
        <v>0</v>
      </c>
      <c r="J172" s="94">
        <f t="shared" si="64"/>
        <v>0</v>
      </c>
      <c r="K172" s="474">
        <f t="shared" si="64"/>
        <v>0</v>
      </c>
      <c r="L172" s="482">
        <f t="shared" si="64"/>
        <v>840</v>
      </c>
      <c r="M172" s="494">
        <f t="shared" si="64"/>
        <v>0</v>
      </c>
      <c r="N172" s="3"/>
      <c r="O172" s="3"/>
    </row>
    <row r="173" spans="1:15" s="62" customFormat="1" ht="12.75">
      <c r="A173" s="81"/>
      <c r="B173" s="59"/>
      <c r="C173" s="1" t="s">
        <v>8</v>
      </c>
      <c r="D173" s="16" t="s">
        <v>216</v>
      </c>
      <c r="E173" s="74">
        <f t="shared" si="60"/>
        <v>840</v>
      </c>
      <c r="F173" s="452"/>
      <c r="G173" s="142"/>
      <c r="H173" s="462"/>
      <c r="I173" s="90"/>
      <c r="J173" s="94"/>
      <c r="K173" s="474"/>
      <c r="L173" s="482">
        <v>840</v>
      </c>
      <c r="M173" s="494"/>
      <c r="N173" s="3"/>
      <c r="O173" s="3"/>
    </row>
    <row r="174" spans="1:15" s="62" customFormat="1" ht="12.75">
      <c r="A174" s="81"/>
      <c r="B174" s="1" t="s">
        <v>14</v>
      </c>
      <c r="C174" s="1"/>
      <c r="D174" s="16" t="s">
        <v>13</v>
      </c>
      <c r="E174" s="74">
        <f t="shared" si="60"/>
        <v>61.7</v>
      </c>
      <c r="F174" s="452">
        <f>F175+F177</f>
        <v>0</v>
      </c>
      <c r="G174" s="142">
        <f aca="true" t="shared" si="65" ref="G174:M174">G175+G177</f>
        <v>0</v>
      </c>
      <c r="H174" s="462">
        <f t="shared" si="65"/>
        <v>0</v>
      </c>
      <c r="I174" s="90">
        <f t="shared" si="65"/>
        <v>0</v>
      </c>
      <c r="J174" s="94">
        <f t="shared" si="65"/>
        <v>58.2</v>
      </c>
      <c r="K174" s="474">
        <f t="shared" si="65"/>
        <v>0</v>
      </c>
      <c r="L174" s="482">
        <f t="shared" si="65"/>
        <v>3.5</v>
      </c>
      <c r="M174" s="494">
        <f t="shared" si="65"/>
        <v>0</v>
      </c>
      <c r="N174" s="3"/>
      <c r="O174" s="3"/>
    </row>
    <row r="175" spans="1:15" s="62" customFormat="1" ht="25.5" customHeight="1">
      <c r="A175" s="81"/>
      <c r="B175" s="1"/>
      <c r="C175" s="1" t="s">
        <v>227</v>
      </c>
      <c r="D175" s="16" t="s">
        <v>228</v>
      </c>
      <c r="E175" s="74">
        <f t="shared" si="60"/>
        <v>-37.5</v>
      </c>
      <c r="F175" s="452">
        <f>F176</f>
        <v>0</v>
      </c>
      <c r="G175" s="142">
        <f aca="true" t="shared" si="66" ref="G175:M175">G176</f>
        <v>0</v>
      </c>
      <c r="H175" s="462">
        <f t="shared" si="66"/>
        <v>0</v>
      </c>
      <c r="I175" s="90">
        <f t="shared" si="66"/>
        <v>0</v>
      </c>
      <c r="J175" s="94">
        <f t="shared" si="66"/>
        <v>58.2</v>
      </c>
      <c r="K175" s="474">
        <f t="shared" si="66"/>
        <v>0</v>
      </c>
      <c r="L175" s="482">
        <f t="shared" si="66"/>
        <v>3.5</v>
      </c>
      <c r="M175" s="494">
        <f t="shared" si="66"/>
        <v>-99.2</v>
      </c>
      <c r="N175" s="3"/>
      <c r="O175" s="3"/>
    </row>
    <row r="176" spans="1:15" s="62" customFormat="1" ht="12.75">
      <c r="A176" s="81"/>
      <c r="B176" s="1"/>
      <c r="C176" s="1" t="s">
        <v>241</v>
      </c>
      <c r="D176" s="16" t="s">
        <v>219</v>
      </c>
      <c r="E176" s="74">
        <f t="shared" si="60"/>
        <v>-37.5</v>
      </c>
      <c r="F176" s="452"/>
      <c r="G176" s="142"/>
      <c r="H176" s="462"/>
      <c r="I176" s="90"/>
      <c r="J176" s="94">
        <f>13.2+45</f>
        <v>58.2</v>
      </c>
      <c r="K176" s="474"/>
      <c r="L176" s="482">
        <v>3.5</v>
      </c>
      <c r="M176" s="494">
        <v>-99.2</v>
      </c>
      <c r="N176" s="3"/>
      <c r="O176" s="3"/>
    </row>
    <row r="177" spans="1:15" s="62" customFormat="1" ht="12.75">
      <c r="A177" s="81"/>
      <c r="B177" s="59"/>
      <c r="C177" s="1" t="s">
        <v>210</v>
      </c>
      <c r="D177" s="16" t="s">
        <v>211</v>
      </c>
      <c r="E177" s="74">
        <f t="shared" si="60"/>
        <v>99.2</v>
      </c>
      <c r="F177" s="452">
        <f>F178</f>
        <v>0</v>
      </c>
      <c r="G177" s="142">
        <f aca="true" t="shared" si="67" ref="G177:M177">G178</f>
        <v>0</v>
      </c>
      <c r="H177" s="462">
        <f t="shared" si="67"/>
        <v>0</v>
      </c>
      <c r="I177" s="90">
        <f t="shared" si="67"/>
        <v>0</v>
      </c>
      <c r="J177" s="94">
        <f t="shared" si="67"/>
        <v>0</v>
      </c>
      <c r="K177" s="474">
        <f t="shared" si="67"/>
        <v>0</v>
      </c>
      <c r="L177" s="482">
        <f t="shared" si="67"/>
        <v>0</v>
      </c>
      <c r="M177" s="494">
        <f t="shared" si="67"/>
        <v>99.2</v>
      </c>
      <c r="N177" s="3"/>
      <c r="O177" s="3"/>
    </row>
    <row r="178" spans="1:15" s="62" customFormat="1" ht="12.75">
      <c r="A178" s="81"/>
      <c r="B178" s="59"/>
      <c r="C178" s="1" t="s">
        <v>8</v>
      </c>
      <c r="D178" s="16" t="s">
        <v>216</v>
      </c>
      <c r="E178" s="74">
        <f t="shared" si="60"/>
        <v>99.2</v>
      </c>
      <c r="F178" s="452"/>
      <c r="G178" s="142"/>
      <c r="H178" s="462"/>
      <c r="I178" s="90"/>
      <c r="J178" s="94"/>
      <c r="K178" s="474"/>
      <c r="L178" s="482"/>
      <c r="M178" s="494">
        <v>99.2</v>
      </c>
      <c r="N178" s="3"/>
      <c r="O178" s="3"/>
    </row>
    <row r="179" spans="1:15" s="62" customFormat="1" ht="12.75">
      <c r="A179" s="81"/>
      <c r="B179" s="59" t="s">
        <v>54</v>
      </c>
      <c r="C179" s="1"/>
      <c r="D179" s="16" t="s">
        <v>55</v>
      </c>
      <c r="E179" s="74">
        <f>E180</f>
        <v>144</v>
      </c>
      <c r="F179" s="451">
        <f aca="true" t="shared" si="68" ref="F179:M182">F180</f>
        <v>0</v>
      </c>
      <c r="G179" s="141">
        <f t="shared" si="68"/>
        <v>144</v>
      </c>
      <c r="H179" s="461">
        <f t="shared" si="68"/>
        <v>0</v>
      </c>
      <c r="I179" s="89">
        <f t="shared" si="68"/>
        <v>0</v>
      </c>
      <c r="J179" s="93">
        <f t="shared" si="68"/>
        <v>0</v>
      </c>
      <c r="K179" s="471">
        <f t="shared" si="68"/>
        <v>0</v>
      </c>
      <c r="L179" s="481">
        <f t="shared" si="68"/>
        <v>0</v>
      </c>
      <c r="M179" s="491">
        <f t="shared" si="68"/>
        <v>0</v>
      </c>
      <c r="N179" s="3"/>
      <c r="O179" s="3"/>
    </row>
    <row r="180" spans="1:15" s="62" customFormat="1" ht="12.75">
      <c r="A180" s="81"/>
      <c r="B180" s="59" t="s">
        <v>56</v>
      </c>
      <c r="C180" s="1"/>
      <c r="D180" s="16" t="s">
        <v>57</v>
      </c>
      <c r="E180" s="74">
        <f>E181</f>
        <v>144</v>
      </c>
      <c r="F180" s="451">
        <f t="shared" si="68"/>
        <v>0</v>
      </c>
      <c r="G180" s="141">
        <f t="shared" si="68"/>
        <v>144</v>
      </c>
      <c r="H180" s="461">
        <f t="shared" si="68"/>
        <v>0</v>
      </c>
      <c r="I180" s="89">
        <f t="shared" si="68"/>
        <v>0</v>
      </c>
      <c r="J180" s="93">
        <f t="shared" si="68"/>
        <v>0</v>
      </c>
      <c r="K180" s="471">
        <f t="shared" si="68"/>
        <v>0</v>
      </c>
      <c r="L180" s="481">
        <f t="shared" si="68"/>
        <v>0</v>
      </c>
      <c r="M180" s="491">
        <f t="shared" si="68"/>
        <v>0</v>
      </c>
      <c r="N180" s="3"/>
      <c r="O180" s="3"/>
    </row>
    <row r="181" spans="1:15" s="62" customFormat="1" ht="25.5">
      <c r="A181" s="81"/>
      <c r="B181" s="59" t="s">
        <v>1046</v>
      </c>
      <c r="C181" s="1"/>
      <c r="D181" s="16" t="s">
        <v>1047</v>
      </c>
      <c r="E181" s="74">
        <f>E182</f>
        <v>144</v>
      </c>
      <c r="F181" s="451">
        <f t="shared" si="68"/>
        <v>0</v>
      </c>
      <c r="G181" s="141">
        <f t="shared" si="68"/>
        <v>144</v>
      </c>
      <c r="H181" s="461">
        <f t="shared" si="68"/>
        <v>0</v>
      </c>
      <c r="I181" s="89">
        <f t="shared" si="68"/>
        <v>0</v>
      </c>
      <c r="J181" s="93">
        <f t="shared" si="68"/>
        <v>0</v>
      </c>
      <c r="K181" s="471">
        <f t="shared" si="68"/>
        <v>0</v>
      </c>
      <c r="L181" s="481">
        <f t="shared" si="68"/>
        <v>0</v>
      </c>
      <c r="M181" s="491">
        <f t="shared" si="68"/>
        <v>0</v>
      </c>
      <c r="N181" s="3"/>
      <c r="O181" s="3"/>
    </row>
    <row r="182" spans="1:15" s="62" customFormat="1" ht="25.5">
      <c r="A182" s="81"/>
      <c r="B182" s="59"/>
      <c r="C182" s="1" t="s">
        <v>232</v>
      </c>
      <c r="D182" s="16" t="s">
        <v>403</v>
      </c>
      <c r="E182" s="74">
        <f>E183</f>
        <v>144</v>
      </c>
      <c r="F182" s="451">
        <f t="shared" si="68"/>
        <v>0</v>
      </c>
      <c r="G182" s="141">
        <f t="shared" si="68"/>
        <v>144</v>
      </c>
      <c r="H182" s="461">
        <f t="shared" si="68"/>
        <v>0</v>
      </c>
      <c r="I182" s="89">
        <f t="shared" si="68"/>
        <v>0</v>
      </c>
      <c r="J182" s="93">
        <f t="shared" si="68"/>
        <v>0</v>
      </c>
      <c r="K182" s="471">
        <f t="shared" si="68"/>
        <v>0</v>
      </c>
      <c r="L182" s="481">
        <f t="shared" si="68"/>
        <v>0</v>
      </c>
      <c r="M182" s="491">
        <f t="shared" si="68"/>
        <v>0</v>
      </c>
      <c r="N182" s="3"/>
      <c r="O182" s="3"/>
    </row>
    <row r="183" spans="1:15" s="62" customFormat="1" ht="25.5">
      <c r="A183" s="81"/>
      <c r="B183" s="59"/>
      <c r="C183" s="1" t="s">
        <v>191</v>
      </c>
      <c r="D183" s="16" t="s">
        <v>367</v>
      </c>
      <c r="E183" s="74">
        <f>F183+G183+H183+I183+J183+K183+L183+M183</f>
        <v>144</v>
      </c>
      <c r="F183" s="452"/>
      <c r="G183" s="142">
        <v>144</v>
      </c>
      <c r="H183" s="462"/>
      <c r="I183" s="90"/>
      <c r="J183" s="94"/>
      <c r="K183" s="474"/>
      <c r="L183" s="482"/>
      <c r="M183" s="494"/>
      <c r="N183" s="3"/>
      <c r="O183" s="3"/>
    </row>
    <row r="184" spans="1:15" s="67" customFormat="1" ht="12.75">
      <c r="A184" s="37" t="s">
        <v>41</v>
      </c>
      <c r="B184" s="38"/>
      <c r="C184" s="38"/>
      <c r="D184" s="15" t="s">
        <v>42</v>
      </c>
      <c r="E184" s="425">
        <f aca="true" t="shared" si="69" ref="E184:E366">F184+G184+H184+I184+J184+K184+L184+M184</f>
        <v>31666.073</v>
      </c>
      <c r="F184" s="453">
        <f aca="true" t="shared" si="70" ref="F184:M184">F185+F208+F247</f>
        <v>0</v>
      </c>
      <c r="G184" s="143">
        <f t="shared" si="70"/>
        <v>0</v>
      </c>
      <c r="H184" s="463">
        <f t="shared" si="70"/>
        <v>365</v>
      </c>
      <c r="I184" s="91">
        <f t="shared" si="70"/>
        <v>21581.358</v>
      </c>
      <c r="J184" s="95">
        <f t="shared" si="70"/>
        <v>503.4250000000009</v>
      </c>
      <c r="K184" s="475">
        <f t="shared" si="70"/>
        <v>1951.7</v>
      </c>
      <c r="L184" s="483">
        <f t="shared" si="70"/>
        <v>7274.59</v>
      </c>
      <c r="M184" s="495">
        <f t="shared" si="70"/>
        <v>-10</v>
      </c>
      <c r="N184" s="4"/>
      <c r="O184" s="4"/>
    </row>
    <row r="185" spans="1:15" s="62" customFormat="1" ht="12.75">
      <c r="A185" s="1" t="s">
        <v>6</v>
      </c>
      <c r="B185" s="1"/>
      <c r="C185" s="1"/>
      <c r="D185" s="16" t="s">
        <v>43</v>
      </c>
      <c r="E185" s="74">
        <f>E186+E195+E200</f>
        <v>17196.883</v>
      </c>
      <c r="F185" s="451">
        <f aca="true" t="shared" si="71" ref="F185:M185">F186+F195+F200</f>
        <v>0</v>
      </c>
      <c r="G185" s="141">
        <f t="shared" si="71"/>
        <v>0</v>
      </c>
      <c r="H185" s="461">
        <f t="shared" si="71"/>
        <v>365</v>
      </c>
      <c r="I185" s="89">
        <f t="shared" si="71"/>
        <v>21581.358</v>
      </c>
      <c r="J185" s="93">
        <f t="shared" si="71"/>
        <v>-6837.174999999999</v>
      </c>
      <c r="K185" s="471">
        <f t="shared" si="71"/>
        <v>1951.7</v>
      </c>
      <c r="L185" s="481">
        <f t="shared" si="71"/>
        <v>136</v>
      </c>
      <c r="M185" s="491">
        <f t="shared" si="71"/>
        <v>0</v>
      </c>
      <c r="N185" s="3"/>
      <c r="O185" s="3"/>
    </row>
    <row r="186" spans="1:15" s="62" customFormat="1" ht="25.5">
      <c r="A186" s="81"/>
      <c r="B186" s="59" t="s">
        <v>295</v>
      </c>
      <c r="C186" s="1"/>
      <c r="D186" s="16" t="s">
        <v>44</v>
      </c>
      <c r="E186" s="74">
        <f t="shared" si="69"/>
        <v>14744.183</v>
      </c>
      <c r="F186" s="452">
        <f>F187+F191</f>
        <v>0</v>
      </c>
      <c r="G186" s="142">
        <f aca="true" t="shared" si="72" ref="G186:M186">G187+G191</f>
        <v>0</v>
      </c>
      <c r="H186" s="462">
        <f t="shared" si="72"/>
        <v>0</v>
      </c>
      <c r="I186" s="90">
        <f t="shared" si="72"/>
        <v>21581.358</v>
      </c>
      <c r="J186" s="94">
        <f t="shared" si="72"/>
        <v>-6837.174999999999</v>
      </c>
      <c r="K186" s="474">
        <f t="shared" si="72"/>
        <v>0</v>
      </c>
      <c r="L186" s="482">
        <f t="shared" si="72"/>
        <v>0</v>
      </c>
      <c r="M186" s="494">
        <f t="shared" si="72"/>
        <v>0</v>
      </c>
      <c r="N186" s="70"/>
      <c r="O186" s="3"/>
    </row>
    <row r="187" spans="1:15" s="62" customFormat="1" ht="51">
      <c r="A187" s="81"/>
      <c r="B187" s="59" t="s">
        <v>296</v>
      </c>
      <c r="C187" s="1"/>
      <c r="D187" s="16" t="s">
        <v>298</v>
      </c>
      <c r="E187" s="74">
        <f t="shared" si="69"/>
        <v>21581.358</v>
      </c>
      <c r="F187" s="452">
        <f>F188</f>
        <v>0</v>
      </c>
      <c r="G187" s="142">
        <f aca="true" t="shared" si="73" ref="G187:M189">G188</f>
        <v>0</v>
      </c>
      <c r="H187" s="462">
        <f t="shared" si="73"/>
        <v>0</v>
      </c>
      <c r="I187" s="90">
        <f t="shared" si="73"/>
        <v>21581.358</v>
      </c>
      <c r="J187" s="94">
        <f t="shared" si="73"/>
        <v>0</v>
      </c>
      <c r="K187" s="474">
        <f t="shared" si="73"/>
        <v>0</v>
      </c>
      <c r="L187" s="482">
        <f t="shared" si="73"/>
        <v>0</v>
      </c>
      <c r="M187" s="494">
        <f t="shared" si="73"/>
        <v>0</v>
      </c>
      <c r="N187" s="70"/>
      <c r="O187" s="3"/>
    </row>
    <row r="188" spans="1:15" s="62" customFormat="1" ht="12.75">
      <c r="A188" s="81"/>
      <c r="B188" s="59" t="s">
        <v>297</v>
      </c>
      <c r="C188" s="1"/>
      <c r="D188" s="16" t="s">
        <v>10</v>
      </c>
      <c r="E188" s="74">
        <f t="shared" si="69"/>
        <v>21581.358</v>
      </c>
      <c r="F188" s="452">
        <f>F189</f>
        <v>0</v>
      </c>
      <c r="G188" s="142">
        <f t="shared" si="73"/>
        <v>0</v>
      </c>
      <c r="H188" s="462">
        <f t="shared" si="73"/>
        <v>0</v>
      </c>
      <c r="I188" s="90">
        <f t="shared" si="73"/>
        <v>21581.358</v>
      </c>
      <c r="J188" s="94">
        <f t="shared" si="73"/>
        <v>0</v>
      </c>
      <c r="K188" s="474">
        <f t="shared" si="73"/>
        <v>0</v>
      </c>
      <c r="L188" s="482">
        <f t="shared" si="73"/>
        <v>0</v>
      </c>
      <c r="M188" s="494">
        <f t="shared" si="73"/>
        <v>0</v>
      </c>
      <c r="N188" s="70"/>
      <c r="O188" s="3"/>
    </row>
    <row r="189" spans="1:15" s="62" customFormat="1" ht="12.75">
      <c r="A189" s="81"/>
      <c r="B189" s="59"/>
      <c r="C189" s="1" t="s">
        <v>212</v>
      </c>
      <c r="D189" s="16" t="s">
        <v>45</v>
      </c>
      <c r="E189" s="74">
        <f t="shared" si="69"/>
        <v>21581.358</v>
      </c>
      <c r="F189" s="452">
        <f>F190</f>
        <v>0</v>
      </c>
      <c r="G189" s="142">
        <f t="shared" si="73"/>
        <v>0</v>
      </c>
      <c r="H189" s="462">
        <f t="shared" si="73"/>
        <v>0</v>
      </c>
      <c r="I189" s="90">
        <f t="shared" si="73"/>
        <v>21581.358</v>
      </c>
      <c r="J189" s="94">
        <f t="shared" si="73"/>
        <v>0</v>
      </c>
      <c r="K189" s="474">
        <f t="shared" si="73"/>
        <v>0</v>
      </c>
      <c r="L189" s="482">
        <f t="shared" si="73"/>
        <v>0</v>
      </c>
      <c r="M189" s="494">
        <f t="shared" si="73"/>
        <v>0</v>
      </c>
      <c r="N189" s="70"/>
      <c r="O189" s="3"/>
    </row>
    <row r="190" spans="1:15" s="62" customFormat="1" ht="12.75">
      <c r="A190" s="81"/>
      <c r="B190" s="59"/>
      <c r="C190" s="1" t="s">
        <v>190</v>
      </c>
      <c r="D190" s="16" t="s">
        <v>299</v>
      </c>
      <c r="E190" s="74">
        <f t="shared" si="69"/>
        <v>21581.358</v>
      </c>
      <c r="F190" s="452"/>
      <c r="G190" s="142"/>
      <c r="H190" s="462"/>
      <c r="I190" s="90">
        <v>21581.358</v>
      </c>
      <c r="J190" s="94"/>
      <c r="K190" s="474"/>
      <c r="L190" s="482"/>
      <c r="M190" s="494"/>
      <c r="N190" s="70"/>
      <c r="O190" s="3"/>
    </row>
    <row r="191" spans="1:15" s="62" customFormat="1" ht="25.5">
      <c r="A191" s="81"/>
      <c r="B191" s="59" t="s">
        <v>46</v>
      </c>
      <c r="C191" s="1"/>
      <c r="D191" s="16" t="s">
        <v>47</v>
      </c>
      <c r="E191" s="74">
        <f t="shared" si="69"/>
        <v>-6837.174999999999</v>
      </c>
      <c r="F191" s="452">
        <f>F192</f>
        <v>0</v>
      </c>
      <c r="G191" s="142">
        <f aca="true" t="shared" si="74" ref="G191:M193">G192</f>
        <v>0</v>
      </c>
      <c r="H191" s="462">
        <f t="shared" si="74"/>
        <v>0</v>
      </c>
      <c r="I191" s="90">
        <f t="shared" si="74"/>
        <v>0</v>
      </c>
      <c r="J191" s="94">
        <f t="shared" si="74"/>
        <v>-6837.174999999999</v>
      </c>
      <c r="K191" s="474">
        <f t="shared" si="74"/>
        <v>0</v>
      </c>
      <c r="L191" s="482">
        <f t="shared" si="74"/>
        <v>0</v>
      </c>
      <c r="M191" s="494">
        <f t="shared" si="74"/>
        <v>0</v>
      </c>
      <c r="N191" s="70"/>
      <c r="O191" s="3"/>
    </row>
    <row r="192" spans="1:15" s="62" customFormat="1" ht="25.5">
      <c r="A192" s="81"/>
      <c r="B192" s="59" t="s">
        <v>179</v>
      </c>
      <c r="C192" s="1"/>
      <c r="D192" s="16" t="s">
        <v>48</v>
      </c>
      <c r="E192" s="74">
        <f t="shared" si="69"/>
        <v>-6837.174999999999</v>
      </c>
      <c r="F192" s="452">
        <f>F193</f>
        <v>0</v>
      </c>
      <c r="G192" s="142">
        <f t="shared" si="74"/>
        <v>0</v>
      </c>
      <c r="H192" s="462">
        <f t="shared" si="74"/>
        <v>0</v>
      </c>
      <c r="I192" s="90">
        <f t="shared" si="74"/>
        <v>0</v>
      </c>
      <c r="J192" s="94">
        <f t="shared" si="74"/>
        <v>-6837.174999999999</v>
      </c>
      <c r="K192" s="474">
        <f t="shared" si="74"/>
        <v>0</v>
      </c>
      <c r="L192" s="482">
        <f t="shared" si="74"/>
        <v>0</v>
      </c>
      <c r="M192" s="494">
        <f t="shared" si="74"/>
        <v>0</v>
      </c>
      <c r="N192" s="70"/>
      <c r="O192" s="3"/>
    </row>
    <row r="193" spans="1:15" s="62" customFormat="1" ht="12.75">
      <c r="A193" s="81"/>
      <c r="B193" s="59"/>
      <c r="C193" s="1" t="s">
        <v>212</v>
      </c>
      <c r="D193" s="16" t="s">
        <v>45</v>
      </c>
      <c r="E193" s="74">
        <f t="shared" si="69"/>
        <v>-6837.174999999999</v>
      </c>
      <c r="F193" s="452">
        <f>F194</f>
        <v>0</v>
      </c>
      <c r="G193" s="142">
        <f t="shared" si="74"/>
        <v>0</v>
      </c>
      <c r="H193" s="462">
        <f t="shared" si="74"/>
        <v>0</v>
      </c>
      <c r="I193" s="90">
        <f t="shared" si="74"/>
        <v>0</v>
      </c>
      <c r="J193" s="94">
        <f t="shared" si="74"/>
        <v>-6837.174999999999</v>
      </c>
      <c r="K193" s="474">
        <f t="shared" si="74"/>
        <v>0</v>
      </c>
      <c r="L193" s="482">
        <f t="shared" si="74"/>
        <v>0</v>
      </c>
      <c r="M193" s="494">
        <f t="shared" si="74"/>
        <v>0</v>
      </c>
      <c r="N193" s="70"/>
      <c r="O193" s="3"/>
    </row>
    <row r="194" spans="1:15" s="62" customFormat="1" ht="12.75">
      <c r="A194" s="81"/>
      <c r="B194" s="59"/>
      <c r="C194" s="1" t="s">
        <v>190</v>
      </c>
      <c r="D194" s="16" t="s">
        <v>299</v>
      </c>
      <c r="E194" s="74">
        <f t="shared" si="69"/>
        <v>-6837.174999999999</v>
      </c>
      <c r="F194" s="452"/>
      <c r="G194" s="142"/>
      <c r="H194" s="462"/>
      <c r="I194" s="90"/>
      <c r="J194" s="94">
        <f>2304.065-3252.24-5889</f>
        <v>-6837.174999999999</v>
      </c>
      <c r="K194" s="474"/>
      <c r="L194" s="482"/>
      <c r="M194" s="494"/>
      <c r="N194" s="70"/>
      <c r="O194" s="3"/>
    </row>
    <row r="195" spans="1:15" s="62" customFormat="1" ht="25.5">
      <c r="A195" s="81"/>
      <c r="B195" s="59" t="s">
        <v>323</v>
      </c>
      <c r="C195" s="1"/>
      <c r="D195" s="16" t="s">
        <v>329</v>
      </c>
      <c r="E195" s="74">
        <f>E196</f>
        <v>365</v>
      </c>
      <c r="F195" s="451">
        <f aca="true" t="shared" si="75" ref="F195:M198">F196</f>
        <v>0</v>
      </c>
      <c r="G195" s="141">
        <f t="shared" si="75"/>
        <v>0</v>
      </c>
      <c r="H195" s="461">
        <f t="shared" si="75"/>
        <v>365</v>
      </c>
      <c r="I195" s="89">
        <f t="shared" si="75"/>
        <v>0</v>
      </c>
      <c r="J195" s="93">
        <f t="shared" si="75"/>
        <v>0</v>
      </c>
      <c r="K195" s="471">
        <f t="shared" si="75"/>
        <v>0</v>
      </c>
      <c r="L195" s="481">
        <f t="shared" si="75"/>
        <v>0</v>
      </c>
      <c r="M195" s="491">
        <f t="shared" si="75"/>
        <v>0</v>
      </c>
      <c r="N195" s="70"/>
      <c r="O195" s="3"/>
    </row>
    <row r="196" spans="1:15" s="62" customFormat="1" ht="12.75">
      <c r="A196" s="81"/>
      <c r="B196" s="59" t="s">
        <v>324</v>
      </c>
      <c r="C196" s="1"/>
      <c r="D196" s="16" t="s">
        <v>330</v>
      </c>
      <c r="E196" s="74">
        <f>E197</f>
        <v>365</v>
      </c>
      <c r="F196" s="451">
        <f t="shared" si="75"/>
        <v>0</v>
      </c>
      <c r="G196" s="141">
        <f t="shared" si="75"/>
        <v>0</v>
      </c>
      <c r="H196" s="461">
        <f t="shared" si="75"/>
        <v>365</v>
      </c>
      <c r="I196" s="89">
        <f t="shared" si="75"/>
        <v>0</v>
      </c>
      <c r="J196" s="93">
        <f t="shared" si="75"/>
        <v>0</v>
      </c>
      <c r="K196" s="471">
        <f t="shared" si="75"/>
        <v>0</v>
      </c>
      <c r="L196" s="481">
        <f t="shared" si="75"/>
        <v>0</v>
      </c>
      <c r="M196" s="491">
        <f t="shared" si="75"/>
        <v>0</v>
      </c>
      <c r="N196" s="70"/>
      <c r="O196" s="3"/>
    </row>
    <row r="197" spans="1:15" s="62" customFormat="1" ht="12.75">
      <c r="A197" s="81"/>
      <c r="B197" s="59" t="s">
        <v>325</v>
      </c>
      <c r="C197" s="1"/>
      <c r="D197" s="16" t="s">
        <v>317</v>
      </c>
      <c r="E197" s="74">
        <f>E198</f>
        <v>365</v>
      </c>
      <c r="F197" s="451">
        <f t="shared" si="75"/>
        <v>0</v>
      </c>
      <c r="G197" s="141">
        <f t="shared" si="75"/>
        <v>0</v>
      </c>
      <c r="H197" s="461">
        <f t="shared" si="75"/>
        <v>365</v>
      </c>
      <c r="I197" s="89">
        <f t="shared" si="75"/>
        <v>0</v>
      </c>
      <c r="J197" s="93">
        <f t="shared" si="75"/>
        <v>0</v>
      </c>
      <c r="K197" s="471">
        <f t="shared" si="75"/>
        <v>0</v>
      </c>
      <c r="L197" s="481">
        <f t="shared" si="75"/>
        <v>0</v>
      </c>
      <c r="M197" s="491">
        <f t="shared" si="75"/>
        <v>0</v>
      </c>
      <c r="N197" s="70"/>
      <c r="O197" s="3"/>
    </row>
    <row r="198" spans="1:15" s="62" customFormat="1" ht="12.75">
      <c r="A198" s="81"/>
      <c r="B198" s="59"/>
      <c r="C198" s="1" t="s">
        <v>326</v>
      </c>
      <c r="D198" s="16" t="s">
        <v>45</v>
      </c>
      <c r="E198" s="74">
        <f>E199</f>
        <v>365</v>
      </c>
      <c r="F198" s="451">
        <f t="shared" si="75"/>
        <v>0</v>
      </c>
      <c r="G198" s="141">
        <f t="shared" si="75"/>
        <v>0</v>
      </c>
      <c r="H198" s="461">
        <f t="shared" si="75"/>
        <v>365</v>
      </c>
      <c r="I198" s="89">
        <f t="shared" si="75"/>
        <v>0</v>
      </c>
      <c r="J198" s="93">
        <f t="shared" si="75"/>
        <v>0</v>
      </c>
      <c r="K198" s="471">
        <f t="shared" si="75"/>
        <v>0</v>
      </c>
      <c r="L198" s="481">
        <f t="shared" si="75"/>
        <v>0</v>
      </c>
      <c r="M198" s="491">
        <f t="shared" si="75"/>
        <v>0</v>
      </c>
      <c r="N198" s="70"/>
      <c r="O198" s="3"/>
    </row>
    <row r="199" spans="1:15" s="62" customFormat="1" ht="12.75">
      <c r="A199" s="81"/>
      <c r="B199" s="59"/>
      <c r="C199" s="1" t="s">
        <v>190</v>
      </c>
      <c r="D199" s="16" t="s">
        <v>299</v>
      </c>
      <c r="E199" s="74">
        <f>F199+G199+H199+I199+J199+K199+L199+M199</f>
        <v>365</v>
      </c>
      <c r="F199" s="452"/>
      <c r="G199" s="142"/>
      <c r="H199" s="462">
        <v>365</v>
      </c>
      <c r="I199" s="90"/>
      <c r="J199" s="94"/>
      <c r="K199" s="474"/>
      <c r="L199" s="482"/>
      <c r="M199" s="494"/>
      <c r="N199" s="70"/>
      <c r="O199" s="3"/>
    </row>
    <row r="200" spans="1:15" s="62" customFormat="1" ht="12.75">
      <c r="A200" s="81"/>
      <c r="B200" s="1" t="s">
        <v>37</v>
      </c>
      <c r="C200" s="1"/>
      <c r="D200" s="16" t="s">
        <v>38</v>
      </c>
      <c r="E200" s="74">
        <f t="shared" si="69"/>
        <v>2087.7</v>
      </c>
      <c r="F200" s="452">
        <f aca="true" t="shared" si="76" ref="F200:M200">F201</f>
        <v>0</v>
      </c>
      <c r="G200" s="142">
        <f t="shared" si="76"/>
        <v>0</v>
      </c>
      <c r="H200" s="462">
        <f t="shared" si="76"/>
        <v>0</v>
      </c>
      <c r="I200" s="90">
        <f t="shared" si="76"/>
        <v>0</v>
      </c>
      <c r="J200" s="94">
        <f t="shared" si="76"/>
        <v>0</v>
      </c>
      <c r="K200" s="474">
        <f t="shared" si="76"/>
        <v>1951.7</v>
      </c>
      <c r="L200" s="482">
        <f t="shared" si="76"/>
        <v>136</v>
      </c>
      <c r="M200" s="494">
        <f t="shared" si="76"/>
        <v>0</v>
      </c>
      <c r="N200" s="3"/>
      <c r="O200" s="3"/>
    </row>
    <row r="201" spans="1:15" s="62" customFormat="1" ht="25.5">
      <c r="A201" s="81"/>
      <c r="B201" s="1" t="s">
        <v>209</v>
      </c>
      <c r="C201" s="1"/>
      <c r="D201" s="49" t="s">
        <v>3</v>
      </c>
      <c r="E201" s="74">
        <f aca="true" t="shared" si="77" ref="E201:M201">E202+E205</f>
        <v>2087.7</v>
      </c>
      <c r="F201" s="451">
        <f t="shared" si="77"/>
        <v>0</v>
      </c>
      <c r="G201" s="141">
        <f t="shared" si="77"/>
        <v>0</v>
      </c>
      <c r="H201" s="461">
        <f t="shared" si="77"/>
        <v>0</v>
      </c>
      <c r="I201" s="89">
        <f t="shared" si="77"/>
        <v>0</v>
      </c>
      <c r="J201" s="93">
        <f t="shared" si="77"/>
        <v>0</v>
      </c>
      <c r="K201" s="471">
        <f t="shared" si="77"/>
        <v>1951.7</v>
      </c>
      <c r="L201" s="481">
        <f t="shared" si="77"/>
        <v>136</v>
      </c>
      <c r="M201" s="491">
        <f t="shared" si="77"/>
        <v>0</v>
      </c>
      <c r="N201" s="3"/>
      <c r="O201" s="3"/>
    </row>
    <row r="202" spans="1:15" s="62" customFormat="1" ht="12.75">
      <c r="A202" s="81"/>
      <c r="B202" s="59"/>
      <c r="C202" s="1"/>
      <c r="D202" s="16" t="s">
        <v>391</v>
      </c>
      <c r="E202" s="74">
        <f>E203</f>
        <v>1877.7</v>
      </c>
      <c r="F202" s="61">
        <f aca="true" t="shared" si="78" ref="F202:M203">F203</f>
        <v>0</v>
      </c>
      <c r="G202" s="61">
        <f t="shared" si="78"/>
        <v>0</v>
      </c>
      <c r="H202" s="61">
        <f t="shared" si="78"/>
        <v>0</v>
      </c>
      <c r="I202" s="61">
        <f t="shared" si="78"/>
        <v>0</v>
      </c>
      <c r="J202" s="61">
        <f t="shared" si="78"/>
        <v>0</v>
      </c>
      <c r="K202" s="61">
        <f t="shared" si="78"/>
        <v>1877.7</v>
      </c>
      <c r="L202" s="61">
        <f t="shared" si="78"/>
        <v>0</v>
      </c>
      <c r="M202" s="61">
        <f t="shared" si="78"/>
        <v>0</v>
      </c>
      <c r="N202" s="3"/>
      <c r="O202" s="3"/>
    </row>
    <row r="203" spans="1:15" s="62" customFormat="1" ht="12.75">
      <c r="A203" s="81"/>
      <c r="B203" s="59"/>
      <c r="C203" s="1" t="s">
        <v>71</v>
      </c>
      <c r="D203" s="2" t="s">
        <v>38</v>
      </c>
      <c r="E203" s="74">
        <f>E204</f>
        <v>1877.7</v>
      </c>
      <c r="F203" s="451">
        <f t="shared" si="78"/>
        <v>0</v>
      </c>
      <c r="G203" s="141">
        <f t="shared" si="78"/>
        <v>0</v>
      </c>
      <c r="H203" s="461">
        <f t="shared" si="78"/>
        <v>0</v>
      </c>
      <c r="I203" s="89">
        <f t="shared" si="78"/>
        <v>0</v>
      </c>
      <c r="J203" s="93">
        <f t="shared" si="78"/>
        <v>0</v>
      </c>
      <c r="K203" s="471">
        <f t="shared" si="78"/>
        <v>1877.7</v>
      </c>
      <c r="L203" s="481">
        <f t="shared" si="78"/>
        <v>0</v>
      </c>
      <c r="M203" s="491">
        <f t="shared" si="78"/>
        <v>0</v>
      </c>
      <c r="N203" s="3"/>
      <c r="O203" s="3"/>
    </row>
    <row r="204" spans="1:15" s="62" customFormat="1" ht="12.75">
      <c r="A204" s="81"/>
      <c r="B204" s="59"/>
      <c r="C204" s="1" t="s">
        <v>120</v>
      </c>
      <c r="D204" s="2" t="s">
        <v>100</v>
      </c>
      <c r="E204" s="74">
        <f>F204+G204+H204+I204+J204+K204+L204+M204</f>
        <v>1877.7</v>
      </c>
      <c r="F204" s="451"/>
      <c r="G204" s="141"/>
      <c r="H204" s="461"/>
      <c r="I204" s="89"/>
      <c r="J204" s="93"/>
      <c r="K204" s="471">
        <v>1877.7</v>
      </c>
      <c r="L204" s="481"/>
      <c r="M204" s="491"/>
      <c r="N204" s="3"/>
      <c r="O204" s="3"/>
    </row>
    <row r="205" spans="1:15" s="62" customFormat="1" ht="12.75">
      <c r="A205" s="81"/>
      <c r="B205" s="59" t="s">
        <v>288</v>
      </c>
      <c r="C205" s="1"/>
      <c r="D205" s="16" t="s">
        <v>166</v>
      </c>
      <c r="E205" s="74">
        <f t="shared" si="69"/>
        <v>210</v>
      </c>
      <c r="F205" s="452">
        <f aca="true" t="shared" si="79" ref="F205:M206">F206</f>
        <v>0</v>
      </c>
      <c r="G205" s="142">
        <f t="shared" si="79"/>
        <v>0</v>
      </c>
      <c r="H205" s="462">
        <f t="shared" si="79"/>
        <v>0</v>
      </c>
      <c r="I205" s="90">
        <f t="shared" si="79"/>
        <v>0</v>
      </c>
      <c r="J205" s="94">
        <f t="shared" si="79"/>
        <v>0</v>
      </c>
      <c r="K205" s="474">
        <f t="shared" si="79"/>
        <v>74</v>
      </c>
      <c r="L205" s="482">
        <f t="shared" si="79"/>
        <v>136</v>
      </c>
      <c r="M205" s="494">
        <f t="shared" si="79"/>
        <v>0</v>
      </c>
      <c r="N205" s="3"/>
      <c r="O205" s="3"/>
    </row>
    <row r="206" spans="1:15" s="62" customFormat="1" ht="12.75">
      <c r="A206" s="81"/>
      <c r="B206" s="59"/>
      <c r="C206" s="1" t="s">
        <v>71</v>
      </c>
      <c r="D206" s="2" t="s">
        <v>38</v>
      </c>
      <c r="E206" s="74">
        <f t="shared" si="69"/>
        <v>210</v>
      </c>
      <c r="F206" s="452">
        <f t="shared" si="79"/>
        <v>0</v>
      </c>
      <c r="G206" s="142">
        <f t="shared" si="79"/>
        <v>0</v>
      </c>
      <c r="H206" s="462">
        <f t="shared" si="79"/>
        <v>0</v>
      </c>
      <c r="I206" s="90">
        <f t="shared" si="79"/>
        <v>0</v>
      </c>
      <c r="J206" s="94">
        <f t="shared" si="79"/>
        <v>0</v>
      </c>
      <c r="K206" s="474">
        <f t="shared" si="79"/>
        <v>74</v>
      </c>
      <c r="L206" s="482">
        <f t="shared" si="79"/>
        <v>136</v>
      </c>
      <c r="M206" s="494">
        <f t="shared" si="79"/>
        <v>0</v>
      </c>
      <c r="N206" s="3"/>
      <c r="O206" s="3"/>
    </row>
    <row r="207" spans="1:15" s="62" customFormat="1" ht="12.75">
      <c r="A207" s="81"/>
      <c r="B207" s="59"/>
      <c r="C207" s="1" t="s">
        <v>120</v>
      </c>
      <c r="D207" s="2" t="s">
        <v>100</v>
      </c>
      <c r="E207" s="74">
        <f>F207+G207+H207+I207+J207+K207+L207+M207</f>
        <v>210</v>
      </c>
      <c r="F207" s="452"/>
      <c r="G207" s="142"/>
      <c r="H207" s="462"/>
      <c r="I207" s="90"/>
      <c r="J207" s="94"/>
      <c r="K207" s="474">
        <v>74</v>
      </c>
      <c r="L207" s="482">
        <v>136</v>
      </c>
      <c r="M207" s="494"/>
      <c r="N207" s="3"/>
      <c r="O207" s="3"/>
    </row>
    <row r="208" spans="1:15" s="62" customFormat="1" ht="12.75">
      <c r="A208" s="35" t="s">
        <v>98</v>
      </c>
      <c r="B208" s="1"/>
      <c r="C208" s="1"/>
      <c r="D208" s="16" t="s">
        <v>99</v>
      </c>
      <c r="E208" s="74">
        <f>E209+E218</f>
        <v>13753.79</v>
      </c>
      <c r="F208" s="61">
        <f aca="true" t="shared" si="80" ref="F208:M208">F209+F218</f>
        <v>0</v>
      </c>
      <c r="G208" s="61">
        <f t="shared" si="80"/>
        <v>0</v>
      </c>
      <c r="H208" s="61">
        <f t="shared" si="80"/>
        <v>0</v>
      </c>
      <c r="I208" s="61">
        <f t="shared" si="80"/>
        <v>0</v>
      </c>
      <c r="J208" s="61">
        <f t="shared" si="80"/>
        <v>7042.3</v>
      </c>
      <c r="K208" s="61">
        <f t="shared" si="80"/>
        <v>0</v>
      </c>
      <c r="L208" s="61">
        <f t="shared" si="80"/>
        <v>6711.49</v>
      </c>
      <c r="M208" s="61">
        <f t="shared" si="80"/>
        <v>0</v>
      </c>
      <c r="N208" s="70"/>
      <c r="O208" s="3"/>
    </row>
    <row r="209" spans="1:15" s="62" customFormat="1" ht="12.75">
      <c r="A209" s="35"/>
      <c r="B209" s="1" t="s">
        <v>1165</v>
      </c>
      <c r="C209" s="1"/>
      <c r="D209" s="2" t="s">
        <v>1166</v>
      </c>
      <c r="E209" s="74">
        <f>E210</f>
        <v>0</v>
      </c>
      <c r="F209" s="61">
        <f aca="true" t="shared" si="81" ref="F209:M210">F210</f>
        <v>0</v>
      </c>
      <c r="G209" s="61">
        <f t="shared" si="81"/>
        <v>0</v>
      </c>
      <c r="H209" s="61">
        <f t="shared" si="81"/>
        <v>0</v>
      </c>
      <c r="I209" s="61">
        <f t="shared" si="81"/>
        <v>0</v>
      </c>
      <c r="J209" s="61">
        <f t="shared" si="81"/>
        <v>0</v>
      </c>
      <c r="K209" s="61">
        <f t="shared" si="81"/>
        <v>0</v>
      </c>
      <c r="L209" s="61">
        <f t="shared" si="81"/>
        <v>0</v>
      </c>
      <c r="M209" s="61">
        <f t="shared" si="81"/>
        <v>0</v>
      </c>
      <c r="N209" s="70"/>
      <c r="O209" s="3"/>
    </row>
    <row r="210" spans="1:15" s="62" customFormat="1" ht="12.75">
      <c r="A210" s="35"/>
      <c r="B210" s="1"/>
      <c r="C210" s="1" t="s">
        <v>212</v>
      </c>
      <c r="D210" s="2" t="s">
        <v>45</v>
      </c>
      <c r="E210" s="74">
        <f>E211</f>
        <v>0</v>
      </c>
      <c r="F210" s="61">
        <f t="shared" si="81"/>
        <v>0</v>
      </c>
      <c r="G210" s="61">
        <f t="shared" si="81"/>
        <v>0</v>
      </c>
      <c r="H210" s="61">
        <f t="shared" si="81"/>
        <v>0</v>
      </c>
      <c r="I210" s="61">
        <f t="shared" si="81"/>
        <v>0</v>
      </c>
      <c r="J210" s="61">
        <f t="shared" si="81"/>
        <v>0</v>
      </c>
      <c r="K210" s="61">
        <f t="shared" si="81"/>
        <v>0</v>
      </c>
      <c r="L210" s="61">
        <f t="shared" si="81"/>
        <v>0</v>
      </c>
      <c r="M210" s="61">
        <f t="shared" si="81"/>
        <v>0</v>
      </c>
      <c r="N210" s="70"/>
      <c r="O210" s="3"/>
    </row>
    <row r="211" spans="1:15" s="62" customFormat="1" ht="25.5">
      <c r="A211" s="35"/>
      <c r="B211" s="1"/>
      <c r="C211" s="1" t="s">
        <v>125</v>
      </c>
      <c r="D211" s="2" t="s">
        <v>1167</v>
      </c>
      <c r="E211" s="74">
        <f>SUM(E212:E217)</f>
        <v>0</v>
      </c>
      <c r="F211" s="61">
        <f aca="true" t="shared" si="82" ref="F211:M211">SUM(F212:F217)</f>
        <v>0</v>
      </c>
      <c r="G211" s="61">
        <f t="shared" si="82"/>
        <v>0</v>
      </c>
      <c r="H211" s="61">
        <f t="shared" si="82"/>
        <v>0</v>
      </c>
      <c r="I211" s="61">
        <f t="shared" si="82"/>
        <v>0</v>
      </c>
      <c r="J211" s="61">
        <f t="shared" si="82"/>
        <v>0</v>
      </c>
      <c r="K211" s="61">
        <f t="shared" si="82"/>
        <v>0</v>
      </c>
      <c r="L211" s="61">
        <f t="shared" si="82"/>
        <v>0</v>
      </c>
      <c r="M211" s="61">
        <f t="shared" si="82"/>
        <v>0</v>
      </c>
      <c r="N211" s="70"/>
      <c r="O211" s="3"/>
    </row>
    <row r="212" spans="1:15" s="62" customFormat="1" ht="25.5">
      <c r="A212" s="35"/>
      <c r="B212" s="1"/>
      <c r="C212" s="1"/>
      <c r="D212" s="132" t="s">
        <v>1161</v>
      </c>
      <c r="E212" s="74">
        <f aca="true" t="shared" si="83" ref="E212:E217">F212+G212+H212+I212+J212+K212+L212+M212</f>
        <v>-1293.3</v>
      </c>
      <c r="F212" s="451"/>
      <c r="G212" s="141"/>
      <c r="H212" s="461"/>
      <c r="I212" s="89"/>
      <c r="J212" s="93"/>
      <c r="K212" s="471"/>
      <c r="L212" s="481"/>
      <c r="M212" s="491">
        <v>-1293.3</v>
      </c>
      <c r="N212" s="70"/>
      <c r="O212" s="3"/>
    </row>
    <row r="213" spans="1:15" s="62" customFormat="1" ht="25.5">
      <c r="A213" s="35"/>
      <c r="B213" s="1"/>
      <c r="C213" s="1"/>
      <c r="D213" s="16" t="s">
        <v>1148</v>
      </c>
      <c r="E213" s="74">
        <f t="shared" si="83"/>
        <v>1293.3</v>
      </c>
      <c r="F213" s="451"/>
      <c r="G213" s="141"/>
      <c r="H213" s="461"/>
      <c r="I213" s="89"/>
      <c r="J213" s="93"/>
      <c r="K213" s="471"/>
      <c r="L213" s="481"/>
      <c r="M213" s="491">
        <v>1293.3</v>
      </c>
      <c r="N213" s="70"/>
      <c r="O213" s="3"/>
    </row>
    <row r="214" spans="1:15" s="62" customFormat="1" ht="25.5">
      <c r="A214" s="35"/>
      <c r="B214" s="1"/>
      <c r="C214" s="1"/>
      <c r="D214" s="16" t="s">
        <v>849</v>
      </c>
      <c r="E214" s="74">
        <f t="shared" si="83"/>
        <v>-5000</v>
      </c>
      <c r="F214" s="451"/>
      <c r="G214" s="141"/>
      <c r="H214" s="461"/>
      <c r="I214" s="89"/>
      <c r="J214" s="93"/>
      <c r="K214" s="471"/>
      <c r="L214" s="481"/>
      <c r="M214" s="491">
        <v>-5000</v>
      </c>
      <c r="N214" s="70"/>
      <c r="O214" s="3"/>
    </row>
    <row r="215" spans="1:15" s="62" customFormat="1" ht="25.5">
      <c r="A215" s="35"/>
      <c r="B215" s="1"/>
      <c r="C215" s="1"/>
      <c r="D215" s="16" t="s">
        <v>1149</v>
      </c>
      <c r="E215" s="74">
        <f t="shared" si="83"/>
        <v>5000</v>
      </c>
      <c r="F215" s="451"/>
      <c r="G215" s="141"/>
      <c r="H215" s="461"/>
      <c r="I215" s="89"/>
      <c r="J215" s="93"/>
      <c r="K215" s="471"/>
      <c r="L215" s="481"/>
      <c r="M215" s="491">
        <v>5000</v>
      </c>
      <c r="N215" s="70"/>
      <c r="O215" s="3"/>
    </row>
    <row r="216" spans="1:15" s="62" customFormat="1" ht="25.5">
      <c r="A216" s="35"/>
      <c r="B216" s="1"/>
      <c r="C216" s="1"/>
      <c r="D216" s="16" t="s">
        <v>846</v>
      </c>
      <c r="E216" s="74">
        <f t="shared" si="83"/>
        <v>-459.3</v>
      </c>
      <c r="F216" s="451"/>
      <c r="G216" s="141"/>
      <c r="H216" s="461"/>
      <c r="I216" s="89"/>
      <c r="J216" s="93"/>
      <c r="K216" s="471"/>
      <c r="L216" s="481"/>
      <c r="M216" s="491">
        <v>-459.3</v>
      </c>
      <c r="N216" s="70"/>
      <c r="O216" s="3"/>
    </row>
    <row r="217" spans="1:15" s="62" customFormat="1" ht="25.5">
      <c r="A217" s="35"/>
      <c r="B217" s="1"/>
      <c r="C217" s="1"/>
      <c r="D217" s="16" t="s">
        <v>1147</v>
      </c>
      <c r="E217" s="74">
        <f t="shared" si="83"/>
        <v>459.3</v>
      </c>
      <c r="F217" s="451"/>
      <c r="G217" s="141"/>
      <c r="H217" s="461"/>
      <c r="I217" s="89"/>
      <c r="J217" s="93"/>
      <c r="K217" s="471"/>
      <c r="L217" s="481"/>
      <c r="M217" s="491">
        <v>459.3</v>
      </c>
      <c r="N217" s="70"/>
      <c r="O217" s="3"/>
    </row>
    <row r="218" spans="1:15" s="62" customFormat="1" ht="12.75">
      <c r="A218" s="81"/>
      <c r="B218" s="1" t="s">
        <v>37</v>
      </c>
      <c r="C218" s="1"/>
      <c r="D218" s="16" t="s">
        <v>38</v>
      </c>
      <c r="E218" s="74">
        <f>E219+E224+E231</f>
        <v>13753.79</v>
      </c>
      <c r="F218" s="451">
        <f aca="true" t="shared" si="84" ref="F218:L218">F219+F224+F231</f>
        <v>0</v>
      </c>
      <c r="G218" s="141">
        <f t="shared" si="84"/>
        <v>0</v>
      </c>
      <c r="H218" s="461">
        <f t="shared" si="84"/>
        <v>0</v>
      </c>
      <c r="I218" s="89">
        <f t="shared" si="84"/>
        <v>0</v>
      </c>
      <c r="J218" s="93">
        <f t="shared" si="84"/>
        <v>7042.3</v>
      </c>
      <c r="K218" s="471">
        <f t="shared" si="84"/>
        <v>0</v>
      </c>
      <c r="L218" s="481">
        <f t="shared" si="84"/>
        <v>6711.49</v>
      </c>
      <c r="M218" s="494">
        <f>M224+M231</f>
        <v>0</v>
      </c>
      <c r="N218" s="70"/>
      <c r="O218" s="3"/>
    </row>
    <row r="219" spans="1:15" s="62" customFormat="1" ht="25.5">
      <c r="A219" s="81"/>
      <c r="B219" s="59" t="s">
        <v>209</v>
      </c>
      <c r="C219" s="1"/>
      <c r="D219" s="16" t="s">
        <v>3</v>
      </c>
      <c r="E219" s="74">
        <f>E220</f>
        <v>2975.49</v>
      </c>
      <c r="F219" s="451">
        <f aca="true" t="shared" si="85" ref="F219:M222">F220</f>
        <v>0</v>
      </c>
      <c r="G219" s="141">
        <f t="shared" si="85"/>
        <v>0</v>
      </c>
      <c r="H219" s="461">
        <f t="shared" si="85"/>
        <v>0</v>
      </c>
      <c r="I219" s="89">
        <f t="shared" si="85"/>
        <v>0</v>
      </c>
      <c r="J219" s="93">
        <f t="shared" si="85"/>
        <v>0</v>
      </c>
      <c r="K219" s="471">
        <f t="shared" si="85"/>
        <v>0</v>
      </c>
      <c r="L219" s="481">
        <f t="shared" si="85"/>
        <v>2975.49</v>
      </c>
      <c r="M219" s="494"/>
      <c r="N219" s="70"/>
      <c r="O219" s="3"/>
    </row>
    <row r="220" spans="1:15" s="62" customFormat="1" ht="25.5">
      <c r="A220" s="81"/>
      <c r="B220" s="59" t="s">
        <v>176</v>
      </c>
      <c r="C220" s="1"/>
      <c r="D220" s="16" t="s">
        <v>147</v>
      </c>
      <c r="E220" s="74">
        <f>E221</f>
        <v>2975.49</v>
      </c>
      <c r="F220" s="74">
        <f t="shared" si="85"/>
        <v>0</v>
      </c>
      <c r="G220" s="74">
        <f t="shared" si="85"/>
        <v>0</v>
      </c>
      <c r="H220" s="74">
        <f t="shared" si="85"/>
        <v>0</v>
      </c>
      <c r="I220" s="74">
        <f t="shared" si="85"/>
        <v>0</v>
      </c>
      <c r="J220" s="74">
        <f t="shared" si="85"/>
        <v>0</v>
      </c>
      <c r="K220" s="74">
        <f t="shared" si="85"/>
        <v>0</v>
      </c>
      <c r="L220" s="74">
        <f t="shared" si="85"/>
        <v>2975.49</v>
      </c>
      <c r="M220" s="74">
        <f t="shared" si="85"/>
        <v>0</v>
      </c>
      <c r="N220" s="70"/>
      <c r="O220" s="3"/>
    </row>
    <row r="221" spans="1:15" s="62" customFormat="1" ht="12.75">
      <c r="A221" s="81"/>
      <c r="B221" s="59"/>
      <c r="C221" s="1"/>
      <c r="D221" s="16" t="s">
        <v>1150</v>
      </c>
      <c r="E221" s="74">
        <f>E222</f>
        <v>2975.49</v>
      </c>
      <c r="F221" s="74">
        <f t="shared" si="85"/>
        <v>0</v>
      </c>
      <c r="G221" s="74">
        <f t="shared" si="85"/>
        <v>0</v>
      </c>
      <c r="H221" s="74">
        <f t="shared" si="85"/>
        <v>0</v>
      </c>
      <c r="I221" s="74">
        <f t="shared" si="85"/>
        <v>0</v>
      </c>
      <c r="J221" s="74">
        <f t="shared" si="85"/>
        <v>0</v>
      </c>
      <c r="K221" s="74">
        <f t="shared" si="85"/>
        <v>0</v>
      </c>
      <c r="L221" s="74">
        <f t="shared" si="85"/>
        <v>2975.49</v>
      </c>
      <c r="M221" s="74">
        <f t="shared" si="85"/>
        <v>0</v>
      </c>
      <c r="N221" s="70"/>
      <c r="O221" s="3"/>
    </row>
    <row r="222" spans="1:15" s="62" customFormat="1" ht="12.75">
      <c r="A222" s="81"/>
      <c r="B222" s="59"/>
      <c r="C222" s="1" t="s">
        <v>212</v>
      </c>
      <c r="D222" s="16" t="s">
        <v>45</v>
      </c>
      <c r="E222" s="74">
        <f>E223</f>
        <v>2975.49</v>
      </c>
      <c r="F222" s="451">
        <f t="shared" si="85"/>
        <v>0</v>
      </c>
      <c r="G222" s="141">
        <f t="shared" si="85"/>
        <v>0</v>
      </c>
      <c r="H222" s="461">
        <f t="shared" si="85"/>
        <v>0</v>
      </c>
      <c r="I222" s="89">
        <f t="shared" si="85"/>
        <v>0</v>
      </c>
      <c r="J222" s="93">
        <f t="shared" si="85"/>
        <v>0</v>
      </c>
      <c r="K222" s="471">
        <f t="shared" si="85"/>
        <v>0</v>
      </c>
      <c r="L222" s="481">
        <f t="shared" si="85"/>
        <v>2975.49</v>
      </c>
      <c r="M222" s="494"/>
      <c r="N222" s="70"/>
      <c r="O222" s="3"/>
    </row>
    <row r="223" spans="1:15" s="62" customFormat="1" ht="25.5">
      <c r="A223" s="81"/>
      <c r="B223" s="59"/>
      <c r="C223" s="1" t="s">
        <v>125</v>
      </c>
      <c r="D223" s="16" t="s">
        <v>290</v>
      </c>
      <c r="E223" s="74">
        <f t="shared" si="69"/>
        <v>2975.49</v>
      </c>
      <c r="F223" s="452"/>
      <c r="G223" s="142"/>
      <c r="H223" s="462"/>
      <c r="I223" s="90"/>
      <c r="J223" s="94"/>
      <c r="K223" s="474"/>
      <c r="L223" s="482">
        <v>2975.49</v>
      </c>
      <c r="M223" s="494"/>
      <c r="N223" s="70"/>
      <c r="O223" s="3"/>
    </row>
    <row r="224" spans="1:15" s="62" customFormat="1" ht="25.5">
      <c r="A224" s="81"/>
      <c r="B224" s="59" t="s">
        <v>39</v>
      </c>
      <c r="C224" s="1"/>
      <c r="D224" s="16" t="s">
        <v>40</v>
      </c>
      <c r="E224" s="74">
        <f>E225+E228</f>
        <v>8010.1</v>
      </c>
      <c r="F224" s="74">
        <f aca="true" t="shared" si="86" ref="F224:M224">F225+F228</f>
        <v>0</v>
      </c>
      <c r="G224" s="74">
        <f t="shared" si="86"/>
        <v>0</v>
      </c>
      <c r="H224" s="74">
        <f t="shared" si="86"/>
        <v>0</v>
      </c>
      <c r="I224" s="74">
        <f t="shared" si="86"/>
        <v>0</v>
      </c>
      <c r="J224" s="74">
        <f t="shared" si="86"/>
        <v>5227</v>
      </c>
      <c r="K224" s="74">
        <f t="shared" si="86"/>
        <v>0</v>
      </c>
      <c r="L224" s="74">
        <f t="shared" si="86"/>
        <v>2783.1</v>
      </c>
      <c r="M224" s="74">
        <f t="shared" si="86"/>
        <v>0</v>
      </c>
      <c r="N224" s="70"/>
      <c r="O224" s="3"/>
    </row>
    <row r="225" spans="1:15" s="62" customFormat="1" ht="12.75">
      <c r="A225" s="81"/>
      <c r="B225" s="59" t="s">
        <v>664</v>
      </c>
      <c r="C225" s="1"/>
      <c r="D225" s="16" t="s">
        <v>101</v>
      </c>
      <c r="E225" s="74">
        <f>E226</f>
        <v>5210.1</v>
      </c>
      <c r="F225" s="74">
        <f aca="true" t="shared" si="87" ref="F225:M226">F226</f>
        <v>0</v>
      </c>
      <c r="G225" s="74">
        <f t="shared" si="87"/>
        <v>0</v>
      </c>
      <c r="H225" s="74">
        <f t="shared" si="87"/>
        <v>0</v>
      </c>
      <c r="I225" s="74">
        <f t="shared" si="87"/>
        <v>0</v>
      </c>
      <c r="J225" s="74">
        <f t="shared" si="87"/>
        <v>2427</v>
      </c>
      <c r="K225" s="74">
        <f t="shared" si="87"/>
        <v>0</v>
      </c>
      <c r="L225" s="74">
        <f t="shared" si="87"/>
        <v>2783.1</v>
      </c>
      <c r="M225" s="74">
        <f t="shared" si="87"/>
        <v>0</v>
      </c>
      <c r="N225" s="70"/>
      <c r="O225" s="3"/>
    </row>
    <row r="226" spans="1:15" s="62" customFormat="1" ht="12.75">
      <c r="A226" s="81"/>
      <c r="B226" s="59"/>
      <c r="C226" s="1" t="s">
        <v>230</v>
      </c>
      <c r="D226" s="16" t="s">
        <v>231</v>
      </c>
      <c r="E226" s="74">
        <f>E227</f>
        <v>5210.1</v>
      </c>
      <c r="F226" s="74">
        <f t="shared" si="87"/>
        <v>0</v>
      </c>
      <c r="G226" s="74">
        <f t="shared" si="87"/>
        <v>0</v>
      </c>
      <c r="H226" s="74">
        <f t="shared" si="87"/>
        <v>0</v>
      </c>
      <c r="I226" s="74">
        <f t="shared" si="87"/>
        <v>0</v>
      </c>
      <c r="J226" s="74">
        <f t="shared" si="87"/>
        <v>2427</v>
      </c>
      <c r="K226" s="74">
        <f t="shared" si="87"/>
        <v>0</v>
      </c>
      <c r="L226" s="74">
        <f t="shared" si="87"/>
        <v>2783.1</v>
      </c>
      <c r="M226" s="74">
        <f t="shared" si="87"/>
        <v>0</v>
      </c>
      <c r="N226" s="70"/>
      <c r="O226" s="3"/>
    </row>
    <row r="227" spans="1:15" s="62" customFormat="1" ht="25.5">
      <c r="A227" s="81"/>
      <c r="B227" s="59"/>
      <c r="C227" s="1" t="s">
        <v>127</v>
      </c>
      <c r="D227" s="16" t="s">
        <v>1197</v>
      </c>
      <c r="E227" s="74">
        <f>F227+G227+H227+I227+J227+K227+L227+M227</f>
        <v>5210.1</v>
      </c>
      <c r="F227" s="452"/>
      <c r="G227" s="142"/>
      <c r="H227" s="462"/>
      <c r="I227" s="90"/>
      <c r="J227" s="94">
        <v>2427</v>
      </c>
      <c r="K227" s="474"/>
      <c r="L227" s="482">
        <f>3177.6-394.5</f>
        <v>2783.1</v>
      </c>
      <c r="M227" s="494"/>
      <c r="N227" s="70"/>
      <c r="O227" s="3"/>
    </row>
    <row r="228" spans="1:15" s="62" customFormat="1" ht="12.75">
      <c r="A228" s="81"/>
      <c r="B228" s="59" t="s">
        <v>195</v>
      </c>
      <c r="C228" s="1"/>
      <c r="D228" s="16" t="s">
        <v>194</v>
      </c>
      <c r="E228" s="74">
        <f t="shared" si="69"/>
        <v>2800</v>
      </c>
      <c r="F228" s="452">
        <f>F229</f>
        <v>0</v>
      </c>
      <c r="G228" s="142">
        <f aca="true" t="shared" si="88" ref="G228:M229">G229</f>
        <v>0</v>
      </c>
      <c r="H228" s="462">
        <f t="shared" si="88"/>
        <v>0</v>
      </c>
      <c r="I228" s="90">
        <f t="shared" si="88"/>
        <v>0</v>
      </c>
      <c r="J228" s="94">
        <f t="shared" si="88"/>
        <v>2800</v>
      </c>
      <c r="K228" s="474">
        <f t="shared" si="88"/>
        <v>0</v>
      </c>
      <c r="L228" s="482">
        <f t="shared" si="88"/>
        <v>0</v>
      </c>
      <c r="M228" s="494">
        <f t="shared" si="88"/>
        <v>0</v>
      </c>
      <c r="N228" s="70"/>
      <c r="O228" s="3"/>
    </row>
    <row r="229" spans="1:15" s="62" customFormat="1" ht="12.75">
      <c r="A229" s="81"/>
      <c r="B229" s="59"/>
      <c r="C229" s="1" t="s">
        <v>210</v>
      </c>
      <c r="D229" s="16" t="s">
        <v>211</v>
      </c>
      <c r="E229" s="74">
        <f t="shared" si="69"/>
        <v>2800</v>
      </c>
      <c r="F229" s="452">
        <f>F230</f>
        <v>0</v>
      </c>
      <c r="G229" s="142">
        <f t="shared" si="88"/>
        <v>0</v>
      </c>
      <c r="H229" s="462">
        <f t="shared" si="88"/>
        <v>0</v>
      </c>
      <c r="I229" s="90">
        <f t="shared" si="88"/>
        <v>0</v>
      </c>
      <c r="J229" s="94">
        <f t="shared" si="88"/>
        <v>2800</v>
      </c>
      <c r="K229" s="474">
        <f t="shared" si="88"/>
        <v>0</v>
      </c>
      <c r="L229" s="482">
        <f t="shared" si="88"/>
        <v>0</v>
      </c>
      <c r="M229" s="494">
        <f t="shared" si="88"/>
        <v>0</v>
      </c>
      <c r="N229" s="70"/>
      <c r="O229" s="3"/>
    </row>
    <row r="230" spans="1:15" s="62" customFormat="1" ht="12.75">
      <c r="A230" s="81"/>
      <c r="B230" s="59"/>
      <c r="C230" s="1" t="s">
        <v>8</v>
      </c>
      <c r="D230" s="16" t="s">
        <v>216</v>
      </c>
      <c r="E230" s="74">
        <f t="shared" si="69"/>
        <v>2800</v>
      </c>
      <c r="F230" s="452"/>
      <c r="G230" s="142"/>
      <c r="H230" s="462"/>
      <c r="I230" s="90"/>
      <c r="J230" s="94">
        <v>2800</v>
      </c>
      <c r="K230" s="474"/>
      <c r="L230" s="482"/>
      <c r="M230" s="494"/>
      <c r="N230" s="70"/>
      <c r="O230" s="3"/>
    </row>
    <row r="231" spans="1:15" s="62" customFormat="1" ht="28.5" customHeight="1">
      <c r="A231" s="81"/>
      <c r="B231" s="59" t="s">
        <v>102</v>
      </c>
      <c r="C231" s="1"/>
      <c r="D231" s="16" t="s">
        <v>103</v>
      </c>
      <c r="E231" s="74">
        <f>E232</f>
        <v>2768.2</v>
      </c>
      <c r="F231" s="451">
        <f aca="true" t="shared" si="89" ref="F231:M232">F232</f>
        <v>0</v>
      </c>
      <c r="G231" s="141">
        <f t="shared" si="89"/>
        <v>0</v>
      </c>
      <c r="H231" s="461">
        <f t="shared" si="89"/>
        <v>0</v>
      </c>
      <c r="I231" s="89">
        <f t="shared" si="89"/>
        <v>0</v>
      </c>
      <c r="J231" s="93">
        <f t="shared" si="89"/>
        <v>1815.3000000000002</v>
      </c>
      <c r="K231" s="471">
        <f t="shared" si="89"/>
        <v>0</v>
      </c>
      <c r="L231" s="481">
        <f t="shared" si="89"/>
        <v>952.9</v>
      </c>
      <c r="M231" s="491">
        <f t="shared" si="89"/>
        <v>0</v>
      </c>
      <c r="N231" s="70"/>
      <c r="O231" s="3"/>
    </row>
    <row r="232" spans="1:15" s="62" customFormat="1" ht="12.75">
      <c r="A232" s="81"/>
      <c r="B232" s="59"/>
      <c r="C232" s="1" t="s">
        <v>212</v>
      </c>
      <c r="D232" s="16" t="s">
        <v>45</v>
      </c>
      <c r="E232" s="74">
        <f>E233</f>
        <v>2768.2</v>
      </c>
      <c r="F232" s="451">
        <f t="shared" si="89"/>
        <v>0</v>
      </c>
      <c r="G232" s="141">
        <f t="shared" si="89"/>
        <v>0</v>
      </c>
      <c r="H232" s="461">
        <f t="shared" si="89"/>
        <v>0</v>
      </c>
      <c r="I232" s="89">
        <f t="shared" si="89"/>
        <v>0</v>
      </c>
      <c r="J232" s="93">
        <f t="shared" si="89"/>
        <v>1815.3000000000002</v>
      </c>
      <c r="K232" s="471">
        <f t="shared" si="89"/>
        <v>0</v>
      </c>
      <c r="L232" s="481">
        <f t="shared" si="89"/>
        <v>952.9</v>
      </c>
      <c r="M232" s="491">
        <f t="shared" si="89"/>
        <v>0</v>
      </c>
      <c r="N232" s="70"/>
      <c r="O232" s="3"/>
    </row>
    <row r="233" spans="1:15" s="62" customFormat="1" ht="25.5">
      <c r="A233" s="81"/>
      <c r="B233" s="59"/>
      <c r="C233" s="1" t="s">
        <v>125</v>
      </c>
      <c r="D233" s="16" t="s">
        <v>372</v>
      </c>
      <c r="E233" s="74">
        <f>SUM(E234:E246)</f>
        <v>2768.2</v>
      </c>
      <c r="F233" s="61">
        <f aca="true" t="shared" si="90" ref="F233:M233">SUM(F234:F246)</f>
        <v>0</v>
      </c>
      <c r="G233" s="61">
        <f t="shared" si="90"/>
        <v>0</v>
      </c>
      <c r="H233" s="61">
        <f t="shared" si="90"/>
        <v>0</v>
      </c>
      <c r="I233" s="61">
        <f t="shared" si="90"/>
        <v>0</v>
      </c>
      <c r="J233" s="61">
        <f t="shared" si="90"/>
        <v>1815.3000000000002</v>
      </c>
      <c r="K233" s="61">
        <f t="shared" si="90"/>
        <v>0</v>
      </c>
      <c r="L233" s="61">
        <f t="shared" si="90"/>
        <v>952.9</v>
      </c>
      <c r="M233" s="61">
        <f t="shared" si="90"/>
        <v>0</v>
      </c>
      <c r="N233" s="70"/>
      <c r="O233" s="3"/>
    </row>
    <row r="234" spans="1:15" s="62" customFormat="1" ht="12.75">
      <c r="A234" s="81"/>
      <c r="B234" s="59" t="s">
        <v>174</v>
      </c>
      <c r="C234" s="1"/>
      <c r="D234" s="16" t="s">
        <v>104</v>
      </c>
      <c r="E234" s="74">
        <f t="shared" si="69"/>
        <v>69.9</v>
      </c>
      <c r="F234" s="452"/>
      <c r="G234" s="142"/>
      <c r="H234" s="462"/>
      <c r="I234" s="90"/>
      <c r="J234" s="94"/>
      <c r="K234" s="474"/>
      <c r="L234" s="482">
        <v>69.9</v>
      </c>
      <c r="M234" s="494"/>
      <c r="N234" s="70"/>
      <c r="O234" s="3"/>
    </row>
    <row r="235" spans="1:15" s="62" customFormat="1" ht="25.5">
      <c r="A235" s="81"/>
      <c r="B235" s="22" t="s">
        <v>1159</v>
      </c>
      <c r="C235" s="1"/>
      <c r="D235" s="16" t="s">
        <v>1161</v>
      </c>
      <c r="E235" s="74">
        <f t="shared" si="69"/>
        <v>-3017.7</v>
      </c>
      <c r="F235" s="452"/>
      <c r="G235" s="142"/>
      <c r="H235" s="462"/>
      <c r="I235" s="90"/>
      <c r="J235" s="94"/>
      <c r="K235" s="474"/>
      <c r="L235" s="482"/>
      <c r="M235" s="494">
        <v>-3017.7</v>
      </c>
      <c r="N235" s="70"/>
      <c r="O235" s="3"/>
    </row>
    <row r="236" spans="1:15" s="62" customFormat="1" ht="25.5">
      <c r="A236" s="81"/>
      <c r="B236" s="22" t="s">
        <v>1159</v>
      </c>
      <c r="C236" s="1"/>
      <c r="D236" s="16" t="s">
        <v>1148</v>
      </c>
      <c r="E236" s="74">
        <f t="shared" si="69"/>
        <v>3017.7</v>
      </c>
      <c r="F236" s="452"/>
      <c r="G236" s="142"/>
      <c r="H236" s="462"/>
      <c r="I236" s="90"/>
      <c r="J236" s="94"/>
      <c r="K236" s="474"/>
      <c r="L236" s="482"/>
      <c r="M236" s="494">
        <v>3017.7</v>
      </c>
      <c r="N236" s="70"/>
      <c r="O236" s="3"/>
    </row>
    <row r="237" spans="1:15" s="62" customFormat="1" ht="25.5">
      <c r="A237" s="81"/>
      <c r="B237" s="22" t="s">
        <v>1160</v>
      </c>
      <c r="C237" s="1"/>
      <c r="D237" s="16" t="s">
        <v>1162</v>
      </c>
      <c r="E237" s="74">
        <f t="shared" si="69"/>
        <v>-6000</v>
      </c>
      <c r="F237" s="452"/>
      <c r="G237" s="142"/>
      <c r="H237" s="462"/>
      <c r="I237" s="90"/>
      <c r="J237" s="94"/>
      <c r="K237" s="474"/>
      <c r="L237" s="482"/>
      <c r="M237" s="494">
        <v>-6000</v>
      </c>
      <c r="N237" s="70"/>
      <c r="O237" s="3"/>
    </row>
    <row r="238" spans="1:15" s="62" customFormat="1" ht="25.5">
      <c r="A238" s="81"/>
      <c r="B238" s="22" t="s">
        <v>1160</v>
      </c>
      <c r="C238" s="1"/>
      <c r="D238" s="16" t="s">
        <v>1149</v>
      </c>
      <c r="E238" s="74">
        <f t="shared" si="69"/>
        <v>6000</v>
      </c>
      <c r="F238" s="452"/>
      <c r="G238" s="142"/>
      <c r="H238" s="462"/>
      <c r="I238" s="90"/>
      <c r="J238" s="94"/>
      <c r="K238" s="474"/>
      <c r="L238" s="482"/>
      <c r="M238" s="494">
        <v>6000</v>
      </c>
      <c r="N238" s="70"/>
      <c r="O238" s="3"/>
    </row>
    <row r="239" spans="1:15" s="62" customFormat="1" ht="12.75">
      <c r="A239" s="81"/>
      <c r="B239" s="59" t="s">
        <v>302</v>
      </c>
      <c r="C239" s="1"/>
      <c r="D239" s="16" t="s">
        <v>188</v>
      </c>
      <c r="E239" s="74">
        <f t="shared" si="69"/>
        <v>848</v>
      </c>
      <c r="F239" s="452"/>
      <c r="G239" s="142"/>
      <c r="H239" s="462"/>
      <c r="I239" s="90"/>
      <c r="J239" s="94"/>
      <c r="K239" s="474"/>
      <c r="L239" s="482">
        <v>848</v>
      </c>
      <c r="M239" s="494"/>
      <c r="N239" s="70"/>
      <c r="O239" s="3"/>
    </row>
    <row r="240" spans="1:15" s="62" customFormat="1" ht="12.75">
      <c r="A240" s="81"/>
      <c r="B240" s="59" t="s">
        <v>946</v>
      </c>
      <c r="C240" s="1"/>
      <c r="D240" s="16" t="s">
        <v>947</v>
      </c>
      <c r="E240" s="74">
        <f t="shared" si="69"/>
        <v>4545.3</v>
      </c>
      <c r="F240" s="452"/>
      <c r="G240" s="142"/>
      <c r="H240" s="462"/>
      <c r="I240" s="90"/>
      <c r="J240" s="94">
        <v>4545.3</v>
      </c>
      <c r="K240" s="474"/>
      <c r="L240" s="482"/>
      <c r="M240" s="494"/>
      <c r="N240" s="70"/>
      <c r="O240" s="3"/>
    </row>
    <row r="241" spans="1:15" s="62" customFormat="1" ht="12.75">
      <c r="A241" s="81"/>
      <c r="B241" s="59" t="s">
        <v>175</v>
      </c>
      <c r="C241" s="1"/>
      <c r="D241" s="16" t="s">
        <v>165</v>
      </c>
      <c r="E241" s="74">
        <f t="shared" si="69"/>
        <v>35</v>
      </c>
      <c r="F241" s="452"/>
      <c r="G241" s="142"/>
      <c r="H241" s="462"/>
      <c r="I241" s="90"/>
      <c r="J241" s="94"/>
      <c r="K241" s="474"/>
      <c r="L241" s="482">
        <v>35</v>
      </c>
      <c r="M241" s="494"/>
      <c r="N241" s="70"/>
      <c r="O241" s="3"/>
    </row>
    <row r="242" spans="1:15" s="62" customFormat="1" ht="25.5">
      <c r="A242" s="81"/>
      <c r="B242" s="59" t="s">
        <v>1108</v>
      </c>
      <c r="C242" s="1"/>
      <c r="D242" s="16" t="s">
        <v>1111</v>
      </c>
      <c r="E242" s="74">
        <f t="shared" si="69"/>
        <v>-1230</v>
      </c>
      <c r="F242" s="452"/>
      <c r="G242" s="142"/>
      <c r="H242" s="462"/>
      <c r="I242" s="90"/>
      <c r="J242" s="94">
        <v>-1230</v>
      </c>
      <c r="K242" s="474"/>
      <c r="L242" s="482"/>
      <c r="M242" s="494"/>
      <c r="N242" s="70"/>
      <c r="O242" s="3"/>
    </row>
    <row r="243" spans="1:15" s="62" customFormat="1" ht="25.5">
      <c r="A243" s="81"/>
      <c r="B243" s="59" t="s">
        <v>1109</v>
      </c>
      <c r="C243" s="1"/>
      <c r="D243" s="16" t="s">
        <v>1112</v>
      </c>
      <c r="E243" s="74">
        <f t="shared" si="69"/>
        <v>-100</v>
      </c>
      <c r="F243" s="452"/>
      <c r="G243" s="142"/>
      <c r="H243" s="462"/>
      <c r="I243" s="90"/>
      <c r="J243" s="94">
        <v>-100</v>
      </c>
      <c r="K243" s="474"/>
      <c r="L243" s="482"/>
      <c r="M243" s="494"/>
      <c r="N243" s="70"/>
      <c r="O243" s="3"/>
    </row>
    <row r="244" spans="1:15" s="62" customFormat="1" ht="15" customHeight="1">
      <c r="A244" s="81"/>
      <c r="B244" s="59" t="s">
        <v>1110</v>
      </c>
      <c r="C244" s="1"/>
      <c r="D244" s="16" t="s">
        <v>1113</v>
      </c>
      <c r="E244" s="74">
        <f t="shared" si="69"/>
        <v>-1400</v>
      </c>
      <c r="F244" s="452"/>
      <c r="G244" s="142"/>
      <c r="H244" s="462"/>
      <c r="I244" s="90"/>
      <c r="J244" s="94">
        <v>-1400</v>
      </c>
      <c r="K244" s="474"/>
      <c r="L244" s="482"/>
      <c r="M244" s="494"/>
      <c r="N244" s="70"/>
      <c r="O244" s="3"/>
    </row>
    <row r="245" spans="1:15" s="62" customFormat="1" ht="25.5">
      <c r="A245" s="81"/>
      <c r="B245" s="22" t="s">
        <v>1163</v>
      </c>
      <c r="C245" s="1"/>
      <c r="D245" s="16" t="s">
        <v>846</v>
      </c>
      <c r="E245" s="74">
        <f t="shared" si="69"/>
        <v>-1071.7</v>
      </c>
      <c r="F245" s="452"/>
      <c r="G245" s="142"/>
      <c r="H245" s="462"/>
      <c r="I245" s="90"/>
      <c r="J245" s="94"/>
      <c r="K245" s="474"/>
      <c r="L245" s="482"/>
      <c r="M245" s="494">
        <v>-1071.7</v>
      </c>
      <c r="N245" s="70"/>
      <c r="O245" s="3"/>
    </row>
    <row r="246" spans="1:15" s="62" customFormat="1" ht="25.5">
      <c r="A246" s="81"/>
      <c r="B246" s="22" t="s">
        <v>1163</v>
      </c>
      <c r="C246" s="1"/>
      <c r="D246" s="16" t="s">
        <v>1147</v>
      </c>
      <c r="E246" s="74">
        <f t="shared" si="69"/>
        <v>1071.7</v>
      </c>
      <c r="F246" s="452"/>
      <c r="G246" s="142"/>
      <c r="H246" s="462"/>
      <c r="I246" s="90"/>
      <c r="J246" s="94"/>
      <c r="K246" s="474"/>
      <c r="L246" s="482"/>
      <c r="M246" s="494">
        <v>1071.7</v>
      </c>
      <c r="N246" s="70"/>
      <c r="O246" s="3"/>
    </row>
    <row r="247" spans="1:15" s="62" customFormat="1" ht="12.75">
      <c r="A247" s="1" t="s">
        <v>15</v>
      </c>
      <c r="B247" s="1"/>
      <c r="C247" s="1"/>
      <c r="D247" s="16" t="s">
        <v>49</v>
      </c>
      <c r="E247" s="74">
        <f>F247+G247+H247+I247+J247+K247+L247+M247</f>
        <v>715.4000000000001</v>
      </c>
      <c r="F247" s="452">
        <f>F248+F253</f>
        <v>0</v>
      </c>
      <c r="G247" s="142">
        <f aca="true" t="shared" si="91" ref="G247:M247">G248+G253</f>
        <v>0</v>
      </c>
      <c r="H247" s="462">
        <f t="shared" si="91"/>
        <v>0</v>
      </c>
      <c r="I247" s="90">
        <f t="shared" si="91"/>
        <v>0</v>
      </c>
      <c r="J247" s="94">
        <f t="shared" si="91"/>
        <v>298.3</v>
      </c>
      <c r="K247" s="474">
        <f t="shared" si="91"/>
        <v>0</v>
      </c>
      <c r="L247" s="482">
        <f>L248+L253</f>
        <v>427.1</v>
      </c>
      <c r="M247" s="494">
        <f t="shared" si="91"/>
        <v>-10</v>
      </c>
      <c r="N247" s="70"/>
      <c r="O247" s="3"/>
    </row>
    <row r="248" spans="1:15" s="62" customFormat="1" ht="12.75">
      <c r="A248" s="1"/>
      <c r="B248" s="1" t="s">
        <v>91</v>
      </c>
      <c r="C248" s="1"/>
      <c r="D248" s="16" t="s">
        <v>92</v>
      </c>
      <c r="E248" s="74">
        <f t="shared" si="69"/>
        <v>-10</v>
      </c>
      <c r="F248" s="452">
        <f>F249</f>
        <v>0</v>
      </c>
      <c r="G248" s="142">
        <f aca="true" t="shared" si="92" ref="G248:M251">G249</f>
        <v>0</v>
      </c>
      <c r="H248" s="462">
        <f t="shared" si="92"/>
        <v>0</v>
      </c>
      <c r="I248" s="90">
        <f t="shared" si="92"/>
        <v>0</v>
      </c>
      <c r="J248" s="94">
        <f t="shared" si="92"/>
        <v>0</v>
      </c>
      <c r="K248" s="474">
        <f t="shared" si="92"/>
        <v>0</v>
      </c>
      <c r="L248" s="482">
        <f t="shared" si="92"/>
        <v>0</v>
      </c>
      <c r="M248" s="494">
        <f t="shared" si="92"/>
        <v>-10</v>
      </c>
      <c r="N248" s="70"/>
      <c r="O248" s="3"/>
    </row>
    <row r="249" spans="1:15" s="62" customFormat="1" ht="12.75">
      <c r="A249" s="1"/>
      <c r="B249" s="1" t="s">
        <v>301</v>
      </c>
      <c r="C249" s="1"/>
      <c r="D249" s="16" t="s">
        <v>114</v>
      </c>
      <c r="E249" s="74">
        <f t="shared" si="69"/>
        <v>-10</v>
      </c>
      <c r="F249" s="452">
        <f>F250</f>
        <v>0</v>
      </c>
      <c r="G249" s="142">
        <f t="shared" si="92"/>
        <v>0</v>
      </c>
      <c r="H249" s="462">
        <f t="shared" si="92"/>
        <v>0</v>
      </c>
      <c r="I249" s="90">
        <f t="shared" si="92"/>
        <v>0</v>
      </c>
      <c r="J249" s="94">
        <f t="shared" si="92"/>
        <v>0</v>
      </c>
      <c r="K249" s="474">
        <f t="shared" si="92"/>
        <v>0</v>
      </c>
      <c r="L249" s="482">
        <f t="shared" si="92"/>
        <v>0</v>
      </c>
      <c r="M249" s="494">
        <f t="shared" si="92"/>
        <v>-10</v>
      </c>
      <c r="N249" s="70"/>
      <c r="O249" s="3"/>
    </row>
    <row r="250" spans="1:15" s="62" customFormat="1" ht="12.75">
      <c r="A250" s="1"/>
      <c r="B250" s="1" t="s">
        <v>193</v>
      </c>
      <c r="C250" s="1"/>
      <c r="D250" s="16" t="s">
        <v>115</v>
      </c>
      <c r="E250" s="74">
        <f t="shared" si="69"/>
        <v>-10</v>
      </c>
      <c r="F250" s="452">
        <f>F251</f>
        <v>0</v>
      </c>
      <c r="G250" s="142">
        <f t="shared" si="92"/>
        <v>0</v>
      </c>
      <c r="H250" s="462">
        <f t="shared" si="92"/>
        <v>0</v>
      </c>
      <c r="I250" s="90">
        <f t="shared" si="92"/>
        <v>0</v>
      </c>
      <c r="J250" s="94">
        <f t="shared" si="92"/>
        <v>0</v>
      </c>
      <c r="K250" s="474">
        <f t="shared" si="92"/>
        <v>0</v>
      </c>
      <c r="L250" s="482">
        <f t="shared" si="92"/>
        <v>0</v>
      </c>
      <c r="M250" s="494">
        <f t="shared" si="92"/>
        <v>-10</v>
      </c>
      <c r="N250" s="70"/>
      <c r="O250" s="3"/>
    </row>
    <row r="251" spans="1:15" s="62" customFormat="1" ht="12.75">
      <c r="A251" s="1"/>
      <c r="B251" s="1"/>
      <c r="C251" s="1" t="s">
        <v>210</v>
      </c>
      <c r="D251" s="16" t="s">
        <v>211</v>
      </c>
      <c r="E251" s="74">
        <f t="shared" si="69"/>
        <v>-10</v>
      </c>
      <c r="F251" s="452">
        <f>F252</f>
        <v>0</v>
      </c>
      <c r="G251" s="142">
        <f t="shared" si="92"/>
        <v>0</v>
      </c>
      <c r="H251" s="462">
        <f t="shared" si="92"/>
        <v>0</v>
      </c>
      <c r="I251" s="90">
        <f t="shared" si="92"/>
        <v>0</v>
      </c>
      <c r="J251" s="94">
        <f t="shared" si="92"/>
        <v>0</v>
      </c>
      <c r="K251" s="474">
        <f t="shared" si="92"/>
        <v>0</v>
      </c>
      <c r="L251" s="482">
        <f t="shared" si="92"/>
        <v>0</v>
      </c>
      <c r="M251" s="494">
        <f t="shared" si="92"/>
        <v>-10</v>
      </c>
      <c r="N251" s="70"/>
      <c r="O251" s="3"/>
    </row>
    <row r="252" spans="1:15" s="62" customFormat="1" ht="12.75">
      <c r="A252" s="1"/>
      <c r="B252" s="1"/>
      <c r="C252" s="1" t="s">
        <v>8</v>
      </c>
      <c r="D252" s="16" t="s">
        <v>216</v>
      </c>
      <c r="E252" s="74">
        <f t="shared" si="69"/>
        <v>-10</v>
      </c>
      <c r="F252" s="452"/>
      <c r="G252" s="142"/>
      <c r="H252" s="462"/>
      <c r="I252" s="90"/>
      <c r="J252" s="94"/>
      <c r="K252" s="474"/>
      <c r="L252" s="482"/>
      <c r="M252" s="494">
        <v>-10</v>
      </c>
      <c r="N252" s="70"/>
      <c r="O252" s="3"/>
    </row>
    <row r="253" spans="1:15" s="62" customFormat="1" ht="12.75">
      <c r="A253" s="81"/>
      <c r="B253" s="1" t="s">
        <v>37</v>
      </c>
      <c r="C253" s="1"/>
      <c r="D253" s="16" t="s">
        <v>213</v>
      </c>
      <c r="E253" s="74">
        <f t="shared" si="69"/>
        <v>725.4000000000001</v>
      </c>
      <c r="F253" s="452">
        <f>F254</f>
        <v>0</v>
      </c>
      <c r="G253" s="142">
        <f aca="true" t="shared" si="93" ref="G253:M253">G254</f>
        <v>0</v>
      </c>
      <c r="H253" s="462">
        <f t="shared" si="93"/>
        <v>0</v>
      </c>
      <c r="I253" s="90">
        <f t="shared" si="93"/>
        <v>0</v>
      </c>
      <c r="J253" s="94">
        <f t="shared" si="93"/>
        <v>298.3</v>
      </c>
      <c r="K253" s="474">
        <f t="shared" si="93"/>
        <v>0</v>
      </c>
      <c r="L253" s="482">
        <f>L254</f>
        <v>427.1</v>
      </c>
      <c r="M253" s="494">
        <f t="shared" si="93"/>
        <v>0</v>
      </c>
      <c r="N253" s="70"/>
      <c r="O253" s="3"/>
    </row>
    <row r="254" spans="1:15" s="62" customFormat="1" ht="25.5">
      <c r="A254" s="81"/>
      <c r="B254" s="1" t="s">
        <v>39</v>
      </c>
      <c r="C254" s="1"/>
      <c r="D254" s="16" t="s">
        <v>40</v>
      </c>
      <c r="E254" s="74">
        <f>E255+E258+E261+E264</f>
        <v>725.4000000000001</v>
      </c>
      <c r="F254" s="74">
        <f aca="true" t="shared" si="94" ref="F254:M254">F255+F258+F261+F264</f>
        <v>0</v>
      </c>
      <c r="G254" s="74">
        <f t="shared" si="94"/>
        <v>0</v>
      </c>
      <c r="H254" s="74">
        <f t="shared" si="94"/>
        <v>0</v>
      </c>
      <c r="I254" s="74">
        <f t="shared" si="94"/>
        <v>0</v>
      </c>
      <c r="J254" s="74">
        <f t="shared" si="94"/>
        <v>298.3</v>
      </c>
      <c r="K254" s="74">
        <f t="shared" si="94"/>
        <v>0</v>
      </c>
      <c r="L254" s="74">
        <f t="shared" si="94"/>
        <v>427.1</v>
      </c>
      <c r="M254" s="74">
        <f t="shared" si="94"/>
        <v>0</v>
      </c>
      <c r="N254" s="70"/>
      <c r="O254" s="3"/>
    </row>
    <row r="255" spans="1:15" s="62" customFormat="1" ht="12.75">
      <c r="A255" s="81"/>
      <c r="B255" s="59" t="s">
        <v>180</v>
      </c>
      <c r="C255" s="1"/>
      <c r="D255" s="16" t="s">
        <v>139</v>
      </c>
      <c r="E255" s="74">
        <f t="shared" si="69"/>
        <v>56</v>
      </c>
      <c r="F255" s="452">
        <f>F256</f>
        <v>0</v>
      </c>
      <c r="G255" s="142">
        <f aca="true" t="shared" si="95" ref="G255:M256">G256</f>
        <v>0</v>
      </c>
      <c r="H255" s="462">
        <f t="shared" si="95"/>
        <v>0</v>
      </c>
      <c r="I255" s="90">
        <f t="shared" si="95"/>
        <v>0</v>
      </c>
      <c r="J255" s="94">
        <f t="shared" si="95"/>
        <v>56</v>
      </c>
      <c r="K255" s="474">
        <f t="shared" si="95"/>
        <v>0</v>
      </c>
      <c r="L255" s="482">
        <f t="shared" si="95"/>
        <v>0</v>
      </c>
      <c r="M255" s="494">
        <f t="shared" si="95"/>
        <v>0</v>
      </c>
      <c r="N255" s="70"/>
      <c r="O255" s="3"/>
    </row>
    <row r="256" spans="1:15" s="62" customFormat="1" ht="25.5" customHeight="1">
      <c r="A256" s="81"/>
      <c r="B256" s="59"/>
      <c r="C256" s="1" t="s">
        <v>227</v>
      </c>
      <c r="D256" s="16" t="s">
        <v>228</v>
      </c>
      <c r="E256" s="74">
        <f t="shared" si="69"/>
        <v>56</v>
      </c>
      <c r="F256" s="452">
        <f>F257</f>
        <v>0</v>
      </c>
      <c r="G256" s="142">
        <f t="shared" si="95"/>
        <v>0</v>
      </c>
      <c r="H256" s="462">
        <f t="shared" si="95"/>
        <v>0</v>
      </c>
      <c r="I256" s="90">
        <f t="shared" si="95"/>
        <v>0</v>
      </c>
      <c r="J256" s="94">
        <f t="shared" si="95"/>
        <v>56</v>
      </c>
      <c r="K256" s="474">
        <f t="shared" si="95"/>
        <v>0</v>
      </c>
      <c r="L256" s="482">
        <f t="shared" si="95"/>
        <v>0</v>
      </c>
      <c r="M256" s="494">
        <f t="shared" si="95"/>
        <v>0</v>
      </c>
      <c r="N256" s="70"/>
      <c r="O256" s="3"/>
    </row>
    <row r="257" spans="1:15" s="62" customFormat="1" ht="12.75">
      <c r="A257" s="81"/>
      <c r="B257" s="59"/>
      <c r="C257" s="1" t="s">
        <v>241</v>
      </c>
      <c r="D257" s="16" t="s">
        <v>219</v>
      </c>
      <c r="E257" s="74">
        <f t="shared" si="69"/>
        <v>56</v>
      </c>
      <c r="F257" s="452"/>
      <c r="G257" s="142"/>
      <c r="H257" s="462"/>
      <c r="I257" s="90"/>
      <c r="J257" s="94">
        <v>56</v>
      </c>
      <c r="K257" s="474"/>
      <c r="L257" s="482"/>
      <c r="M257" s="494"/>
      <c r="N257" s="70"/>
      <c r="O257" s="3"/>
    </row>
    <row r="258" spans="1:15" s="62" customFormat="1" ht="12.75">
      <c r="A258" s="81"/>
      <c r="B258" s="59" t="s">
        <v>181</v>
      </c>
      <c r="C258" s="1"/>
      <c r="D258" s="16" t="s">
        <v>126</v>
      </c>
      <c r="E258" s="74">
        <f t="shared" si="69"/>
        <v>26</v>
      </c>
      <c r="F258" s="452">
        <f>F259</f>
        <v>0</v>
      </c>
      <c r="G258" s="142">
        <f aca="true" t="shared" si="96" ref="G258:M259">G259</f>
        <v>0</v>
      </c>
      <c r="H258" s="462">
        <f t="shared" si="96"/>
        <v>0</v>
      </c>
      <c r="I258" s="90">
        <f t="shared" si="96"/>
        <v>0</v>
      </c>
      <c r="J258" s="94">
        <f t="shared" si="96"/>
        <v>26</v>
      </c>
      <c r="K258" s="474">
        <f t="shared" si="96"/>
        <v>0</v>
      </c>
      <c r="L258" s="482">
        <f t="shared" si="96"/>
        <v>0</v>
      </c>
      <c r="M258" s="494">
        <f t="shared" si="96"/>
        <v>0</v>
      </c>
      <c r="N258" s="70"/>
      <c r="O258" s="3"/>
    </row>
    <row r="259" spans="1:15" s="62" customFormat="1" ht="25.5" customHeight="1">
      <c r="A259" s="81"/>
      <c r="B259" s="59"/>
      <c r="C259" s="1" t="s">
        <v>227</v>
      </c>
      <c r="D259" s="16" t="s">
        <v>228</v>
      </c>
      <c r="E259" s="74">
        <f t="shared" si="69"/>
        <v>26</v>
      </c>
      <c r="F259" s="452">
        <f>F260</f>
        <v>0</v>
      </c>
      <c r="G259" s="142">
        <f t="shared" si="96"/>
        <v>0</v>
      </c>
      <c r="H259" s="462">
        <f t="shared" si="96"/>
        <v>0</v>
      </c>
      <c r="I259" s="90">
        <f t="shared" si="96"/>
        <v>0</v>
      </c>
      <c r="J259" s="94">
        <f t="shared" si="96"/>
        <v>26</v>
      </c>
      <c r="K259" s="474">
        <f t="shared" si="96"/>
        <v>0</v>
      </c>
      <c r="L259" s="482">
        <f t="shared" si="96"/>
        <v>0</v>
      </c>
      <c r="M259" s="494">
        <f t="shared" si="96"/>
        <v>0</v>
      </c>
      <c r="N259" s="70"/>
      <c r="O259" s="3"/>
    </row>
    <row r="260" spans="1:15" s="62" customFormat="1" ht="12.75">
      <c r="A260" s="81"/>
      <c r="B260" s="59"/>
      <c r="C260" s="1" t="s">
        <v>241</v>
      </c>
      <c r="D260" s="16" t="s">
        <v>219</v>
      </c>
      <c r="E260" s="74">
        <f t="shared" si="69"/>
        <v>26</v>
      </c>
      <c r="F260" s="452"/>
      <c r="G260" s="142"/>
      <c r="H260" s="462"/>
      <c r="I260" s="90"/>
      <c r="J260" s="94">
        <f>52-26</f>
        <v>26</v>
      </c>
      <c r="K260" s="474"/>
      <c r="L260" s="482"/>
      <c r="M260" s="494"/>
      <c r="N260" s="70"/>
      <c r="O260" s="3"/>
    </row>
    <row r="261" spans="1:15" s="62" customFormat="1" ht="25.5">
      <c r="A261" s="81"/>
      <c r="B261" s="59" t="s">
        <v>300</v>
      </c>
      <c r="C261" s="1"/>
      <c r="D261" s="16" t="s">
        <v>107</v>
      </c>
      <c r="E261" s="74">
        <f t="shared" si="69"/>
        <v>55.2</v>
      </c>
      <c r="F261" s="452">
        <f>F262</f>
        <v>0</v>
      </c>
      <c r="G261" s="142">
        <f aca="true" t="shared" si="97" ref="G261:M262">G262</f>
        <v>0</v>
      </c>
      <c r="H261" s="462">
        <f t="shared" si="97"/>
        <v>0</v>
      </c>
      <c r="I261" s="90">
        <f t="shared" si="97"/>
        <v>0</v>
      </c>
      <c r="J261" s="94">
        <f t="shared" si="97"/>
        <v>55.2</v>
      </c>
      <c r="K261" s="474">
        <f t="shared" si="97"/>
        <v>0</v>
      </c>
      <c r="L261" s="482">
        <f t="shared" si="97"/>
        <v>0</v>
      </c>
      <c r="M261" s="494">
        <f t="shared" si="97"/>
        <v>0</v>
      </c>
      <c r="N261" s="70"/>
      <c r="O261" s="3"/>
    </row>
    <row r="262" spans="1:15" s="62" customFormat="1" ht="26.25" customHeight="1">
      <c r="A262" s="81"/>
      <c r="B262" s="59"/>
      <c r="C262" s="1" t="s">
        <v>227</v>
      </c>
      <c r="D262" s="16" t="s">
        <v>228</v>
      </c>
      <c r="E262" s="74">
        <f t="shared" si="69"/>
        <v>55.2</v>
      </c>
      <c r="F262" s="452">
        <f>F263</f>
        <v>0</v>
      </c>
      <c r="G262" s="142">
        <f t="shared" si="97"/>
        <v>0</v>
      </c>
      <c r="H262" s="462">
        <f t="shared" si="97"/>
        <v>0</v>
      </c>
      <c r="I262" s="90">
        <f t="shared" si="97"/>
        <v>0</v>
      </c>
      <c r="J262" s="94">
        <f t="shared" si="97"/>
        <v>55.2</v>
      </c>
      <c r="K262" s="474">
        <f t="shared" si="97"/>
        <v>0</v>
      </c>
      <c r="L262" s="482">
        <f t="shared" si="97"/>
        <v>0</v>
      </c>
      <c r="M262" s="494">
        <f t="shared" si="97"/>
        <v>0</v>
      </c>
      <c r="N262" s="70"/>
      <c r="O262" s="3"/>
    </row>
    <row r="263" spans="1:15" s="62" customFormat="1" ht="12.75">
      <c r="A263" s="81"/>
      <c r="B263" s="59"/>
      <c r="C263" s="1" t="s">
        <v>241</v>
      </c>
      <c r="D263" s="16" t="s">
        <v>219</v>
      </c>
      <c r="E263" s="74">
        <f t="shared" si="69"/>
        <v>55.2</v>
      </c>
      <c r="F263" s="452"/>
      <c r="G263" s="142"/>
      <c r="H263" s="462"/>
      <c r="I263" s="90"/>
      <c r="J263" s="94">
        <f>-26+7.5+18.4+67.5-12.2</f>
        <v>55.2</v>
      </c>
      <c r="K263" s="474"/>
      <c r="L263" s="482"/>
      <c r="M263" s="494"/>
      <c r="N263" s="70"/>
      <c r="O263" s="3"/>
    </row>
    <row r="264" spans="1:15" s="62" customFormat="1" ht="12.75">
      <c r="A264" s="81"/>
      <c r="B264" s="59" t="s">
        <v>108</v>
      </c>
      <c r="C264" s="1"/>
      <c r="D264" s="16" t="s">
        <v>109</v>
      </c>
      <c r="E264" s="74">
        <f t="shared" si="69"/>
        <v>588.2</v>
      </c>
      <c r="F264" s="452">
        <f>F265</f>
        <v>0</v>
      </c>
      <c r="G264" s="142">
        <f aca="true" t="shared" si="98" ref="G264:M265">G265</f>
        <v>0</v>
      </c>
      <c r="H264" s="462">
        <f t="shared" si="98"/>
        <v>0</v>
      </c>
      <c r="I264" s="90">
        <f t="shared" si="98"/>
        <v>0</v>
      </c>
      <c r="J264" s="94">
        <f t="shared" si="98"/>
        <v>161.10000000000002</v>
      </c>
      <c r="K264" s="474">
        <f t="shared" si="98"/>
        <v>0</v>
      </c>
      <c r="L264" s="482">
        <f t="shared" si="98"/>
        <v>427.1</v>
      </c>
      <c r="M264" s="494">
        <f t="shared" si="98"/>
        <v>0</v>
      </c>
      <c r="N264" s="70"/>
      <c r="O264" s="3"/>
    </row>
    <row r="265" spans="1:15" s="62" customFormat="1" ht="27" customHeight="1">
      <c r="A265" s="81"/>
      <c r="B265" s="59"/>
      <c r="C265" s="1" t="s">
        <v>227</v>
      </c>
      <c r="D265" s="16" t="s">
        <v>228</v>
      </c>
      <c r="E265" s="74">
        <f t="shared" si="69"/>
        <v>588.2</v>
      </c>
      <c r="F265" s="452">
        <f>F266</f>
        <v>0</v>
      </c>
      <c r="G265" s="142">
        <f t="shared" si="98"/>
        <v>0</v>
      </c>
      <c r="H265" s="462">
        <f t="shared" si="98"/>
        <v>0</v>
      </c>
      <c r="I265" s="90">
        <f t="shared" si="98"/>
        <v>0</v>
      </c>
      <c r="J265" s="94">
        <f t="shared" si="98"/>
        <v>161.10000000000002</v>
      </c>
      <c r="K265" s="474">
        <f t="shared" si="98"/>
        <v>0</v>
      </c>
      <c r="L265" s="482">
        <f t="shared" si="98"/>
        <v>427.1</v>
      </c>
      <c r="M265" s="494">
        <f t="shared" si="98"/>
        <v>0</v>
      </c>
      <c r="N265" s="70"/>
      <c r="O265" s="3"/>
    </row>
    <row r="266" spans="1:15" s="62" customFormat="1" ht="12.75">
      <c r="A266" s="81"/>
      <c r="B266" s="59"/>
      <c r="C266" s="1" t="s">
        <v>241</v>
      </c>
      <c r="D266" s="16" t="s">
        <v>219</v>
      </c>
      <c r="E266" s="74">
        <f t="shared" si="69"/>
        <v>588.2</v>
      </c>
      <c r="F266" s="452"/>
      <c r="G266" s="142"/>
      <c r="H266" s="462"/>
      <c r="I266" s="90"/>
      <c r="J266" s="94">
        <f>93.9+67.2</f>
        <v>161.10000000000002</v>
      </c>
      <c r="K266" s="474"/>
      <c r="L266" s="482">
        <f>521-93.9</f>
        <v>427.1</v>
      </c>
      <c r="M266" s="494"/>
      <c r="N266" s="70"/>
      <c r="O266" s="3"/>
    </row>
    <row r="267" spans="1:15" s="67" customFormat="1" ht="12.75">
      <c r="A267" s="10" t="s">
        <v>50</v>
      </c>
      <c r="B267" s="10"/>
      <c r="C267" s="10"/>
      <c r="D267" s="15" t="s">
        <v>51</v>
      </c>
      <c r="E267" s="425">
        <f aca="true" t="shared" si="99" ref="E267:M267">E268+E309+E373+E384</f>
        <v>11933.420000000002</v>
      </c>
      <c r="F267" s="450">
        <f t="shared" si="99"/>
        <v>-13199.899999999998</v>
      </c>
      <c r="G267" s="140">
        <f t="shared" si="99"/>
        <v>4308.099999999999</v>
      </c>
      <c r="H267" s="460">
        <f t="shared" si="99"/>
        <v>4599.127</v>
      </c>
      <c r="I267" s="88">
        <f t="shared" si="99"/>
        <v>17298.200000000004</v>
      </c>
      <c r="J267" s="92">
        <f t="shared" si="99"/>
        <v>0</v>
      </c>
      <c r="K267" s="470">
        <f t="shared" si="99"/>
        <v>-3507.238</v>
      </c>
      <c r="L267" s="480">
        <f t="shared" si="99"/>
        <v>2435.1310000000003</v>
      </c>
      <c r="M267" s="490">
        <f t="shared" si="99"/>
        <v>0</v>
      </c>
      <c r="N267" s="76"/>
      <c r="O267" s="4"/>
    </row>
    <row r="268" spans="1:15" s="62" customFormat="1" ht="12.75">
      <c r="A268" s="1" t="s">
        <v>12</v>
      </c>
      <c r="B268" s="1"/>
      <c r="C268" s="1"/>
      <c r="D268" s="16" t="s">
        <v>52</v>
      </c>
      <c r="E268" s="74">
        <f aca="true" t="shared" si="100" ref="E268:M268">E269+E280+E284+E290+E302</f>
        <v>-17812.782</v>
      </c>
      <c r="F268" s="451">
        <f t="shared" si="100"/>
        <v>-17392.8</v>
      </c>
      <c r="G268" s="141">
        <f t="shared" si="100"/>
        <v>3517.3999999999996</v>
      </c>
      <c r="H268" s="461">
        <f t="shared" si="100"/>
        <v>2182.5</v>
      </c>
      <c r="I268" s="89">
        <f t="shared" si="100"/>
        <v>0</v>
      </c>
      <c r="J268" s="93">
        <f t="shared" si="100"/>
        <v>0</v>
      </c>
      <c r="K268" s="471">
        <f t="shared" si="100"/>
        <v>-7327.7</v>
      </c>
      <c r="L268" s="481">
        <f t="shared" si="100"/>
        <v>1207.818</v>
      </c>
      <c r="M268" s="491">
        <f t="shared" si="100"/>
        <v>0</v>
      </c>
      <c r="N268" s="70"/>
      <c r="O268" s="3"/>
    </row>
    <row r="269" spans="1:15" s="62" customFormat="1" ht="25.5">
      <c r="A269" s="1"/>
      <c r="B269" s="1" t="s">
        <v>323</v>
      </c>
      <c r="C269" s="1"/>
      <c r="D269" s="16" t="s">
        <v>329</v>
      </c>
      <c r="E269" s="74">
        <f aca="true" t="shared" si="101" ref="E269:M269">E270</f>
        <v>2182.5</v>
      </c>
      <c r="F269" s="451">
        <f t="shared" si="101"/>
        <v>0</v>
      </c>
      <c r="G269" s="141">
        <f t="shared" si="101"/>
        <v>0</v>
      </c>
      <c r="H269" s="461">
        <f t="shared" si="101"/>
        <v>2182.5</v>
      </c>
      <c r="I269" s="89">
        <f t="shared" si="101"/>
        <v>0</v>
      </c>
      <c r="J269" s="93">
        <f t="shared" si="101"/>
        <v>0</v>
      </c>
      <c r="K269" s="471">
        <f t="shared" si="101"/>
        <v>0</v>
      </c>
      <c r="L269" s="481">
        <f t="shared" si="101"/>
        <v>0</v>
      </c>
      <c r="M269" s="491">
        <f t="shared" si="101"/>
        <v>0</v>
      </c>
      <c r="N269" s="70"/>
      <c r="O269" s="3"/>
    </row>
    <row r="270" spans="1:15" s="62" customFormat="1" ht="12.75">
      <c r="A270" s="1"/>
      <c r="B270" s="1" t="s">
        <v>324</v>
      </c>
      <c r="C270" s="1"/>
      <c r="D270" s="16" t="s">
        <v>330</v>
      </c>
      <c r="E270" s="74">
        <f>E271+E274+E277</f>
        <v>2182.5</v>
      </c>
      <c r="F270" s="451">
        <f aca="true" t="shared" si="102" ref="F270:M270">F271+F274+F277</f>
        <v>0</v>
      </c>
      <c r="G270" s="141">
        <f t="shared" si="102"/>
        <v>0</v>
      </c>
      <c r="H270" s="461">
        <f t="shared" si="102"/>
        <v>2182.5</v>
      </c>
      <c r="I270" s="89">
        <f t="shared" si="102"/>
        <v>0</v>
      </c>
      <c r="J270" s="93">
        <f t="shared" si="102"/>
        <v>0</v>
      </c>
      <c r="K270" s="471">
        <f t="shared" si="102"/>
        <v>0</v>
      </c>
      <c r="L270" s="481">
        <f t="shared" si="102"/>
        <v>0</v>
      </c>
      <c r="M270" s="491">
        <f t="shared" si="102"/>
        <v>0</v>
      </c>
      <c r="N270" s="70"/>
      <c r="O270" s="3"/>
    </row>
    <row r="271" spans="1:15" s="62" customFormat="1" ht="12.75">
      <c r="A271" s="1"/>
      <c r="B271" s="1" t="s">
        <v>1114</v>
      </c>
      <c r="C271" s="1"/>
      <c r="D271" s="16" t="s">
        <v>1115</v>
      </c>
      <c r="E271" s="74">
        <f>E272</f>
        <v>2000</v>
      </c>
      <c r="F271" s="451">
        <f aca="true" t="shared" si="103" ref="F271:M272">F272</f>
        <v>0</v>
      </c>
      <c r="G271" s="141">
        <f t="shared" si="103"/>
        <v>0</v>
      </c>
      <c r="H271" s="461">
        <f t="shared" si="103"/>
        <v>2000</v>
      </c>
      <c r="I271" s="89">
        <f t="shared" si="103"/>
        <v>0</v>
      </c>
      <c r="J271" s="93">
        <f t="shared" si="103"/>
        <v>0</v>
      </c>
      <c r="K271" s="471">
        <f t="shared" si="103"/>
        <v>0</v>
      </c>
      <c r="L271" s="481">
        <f t="shared" si="103"/>
        <v>0</v>
      </c>
      <c r="M271" s="491">
        <f t="shared" si="103"/>
        <v>0</v>
      </c>
      <c r="N271" s="70"/>
      <c r="O271" s="3"/>
    </row>
    <row r="272" spans="1:15" s="62" customFormat="1" ht="12.75">
      <c r="A272" s="1"/>
      <c r="B272" s="1"/>
      <c r="C272" s="1" t="s">
        <v>212</v>
      </c>
      <c r="D272" s="16" t="s">
        <v>45</v>
      </c>
      <c r="E272" s="74">
        <f>E273</f>
        <v>2000</v>
      </c>
      <c r="F272" s="451">
        <f t="shared" si="103"/>
        <v>0</v>
      </c>
      <c r="G272" s="141">
        <f t="shared" si="103"/>
        <v>0</v>
      </c>
      <c r="H272" s="461">
        <f t="shared" si="103"/>
        <v>2000</v>
      </c>
      <c r="I272" s="89">
        <f t="shared" si="103"/>
        <v>0</v>
      </c>
      <c r="J272" s="93">
        <f t="shared" si="103"/>
        <v>0</v>
      </c>
      <c r="K272" s="471">
        <f t="shared" si="103"/>
        <v>0</v>
      </c>
      <c r="L272" s="481">
        <f t="shared" si="103"/>
        <v>0</v>
      </c>
      <c r="M272" s="491">
        <f t="shared" si="103"/>
        <v>0</v>
      </c>
      <c r="N272" s="70"/>
      <c r="O272" s="3"/>
    </row>
    <row r="273" spans="1:15" s="62" customFormat="1" ht="25.5">
      <c r="A273" s="1"/>
      <c r="B273" s="1"/>
      <c r="C273" s="1" t="s">
        <v>125</v>
      </c>
      <c r="D273" s="16" t="s">
        <v>290</v>
      </c>
      <c r="E273" s="74">
        <f>F273+G273+H273+I273+J273+K273+L273+M273</f>
        <v>2000</v>
      </c>
      <c r="F273" s="451"/>
      <c r="G273" s="141"/>
      <c r="H273" s="461">
        <v>2000</v>
      </c>
      <c r="I273" s="89"/>
      <c r="J273" s="93"/>
      <c r="K273" s="471"/>
      <c r="L273" s="481"/>
      <c r="M273" s="491"/>
      <c r="N273" s="70"/>
      <c r="O273" s="3"/>
    </row>
    <row r="274" spans="1:15" s="62" customFormat="1" ht="25.5">
      <c r="A274" s="1"/>
      <c r="B274" s="59" t="s">
        <v>1097</v>
      </c>
      <c r="C274" s="1"/>
      <c r="D274" s="16" t="s">
        <v>1098</v>
      </c>
      <c r="E274" s="74">
        <f>E275</f>
        <v>-1817.5</v>
      </c>
      <c r="F274" s="451">
        <f aca="true" t="shared" si="104" ref="F274:M275">F275</f>
        <v>0</v>
      </c>
      <c r="G274" s="141">
        <f t="shared" si="104"/>
        <v>0</v>
      </c>
      <c r="H274" s="461">
        <f t="shared" si="104"/>
        <v>-1817.5</v>
      </c>
      <c r="I274" s="89">
        <f t="shared" si="104"/>
        <v>0</v>
      </c>
      <c r="J274" s="93">
        <f t="shared" si="104"/>
        <v>0</v>
      </c>
      <c r="K274" s="471">
        <f t="shared" si="104"/>
        <v>0</v>
      </c>
      <c r="L274" s="481">
        <f t="shared" si="104"/>
        <v>0</v>
      </c>
      <c r="M274" s="491">
        <f t="shared" si="104"/>
        <v>0</v>
      </c>
      <c r="N274" s="70"/>
      <c r="O274" s="3"/>
    </row>
    <row r="275" spans="1:15" s="62" customFormat="1" ht="12.75">
      <c r="A275" s="1"/>
      <c r="B275" s="59"/>
      <c r="C275" s="1" t="s">
        <v>326</v>
      </c>
      <c r="D275" s="16" t="s">
        <v>45</v>
      </c>
      <c r="E275" s="74">
        <f>E276</f>
        <v>-1817.5</v>
      </c>
      <c r="F275" s="451">
        <f t="shared" si="104"/>
        <v>0</v>
      </c>
      <c r="G275" s="141">
        <f t="shared" si="104"/>
        <v>0</v>
      </c>
      <c r="H275" s="461">
        <f t="shared" si="104"/>
        <v>-1817.5</v>
      </c>
      <c r="I275" s="89">
        <f t="shared" si="104"/>
        <v>0</v>
      </c>
      <c r="J275" s="93">
        <f t="shared" si="104"/>
        <v>0</v>
      </c>
      <c r="K275" s="471">
        <f t="shared" si="104"/>
        <v>0</v>
      </c>
      <c r="L275" s="481">
        <f t="shared" si="104"/>
        <v>0</v>
      </c>
      <c r="M275" s="491">
        <f t="shared" si="104"/>
        <v>0</v>
      </c>
      <c r="N275" s="70"/>
      <c r="O275" s="3"/>
    </row>
    <row r="276" spans="1:15" s="62" customFormat="1" ht="12.75">
      <c r="A276" s="1"/>
      <c r="B276" s="59"/>
      <c r="C276" s="1" t="s">
        <v>190</v>
      </c>
      <c r="D276" s="16" t="s">
        <v>299</v>
      </c>
      <c r="E276" s="74">
        <f>F276+G276+H276+I276+J276+K276+L276+M276</f>
        <v>-1817.5</v>
      </c>
      <c r="F276" s="451"/>
      <c r="G276" s="141"/>
      <c r="H276" s="461">
        <v>-1817.5</v>
      </c>
      <c r="I276" s="89"/>
      <c r="J276" s="93"/>
      <c r="K276" s="471"/>
      <c r="L276" s="481"/>
      <c r="M276" s="491"/>
      <c r="N276" s="70"/>
      <c r="O276" s="3"/>
    </row>
    <row r="277" spans="1:15" s="62" customFormat="1" ht="12.75">
      <c r="A277" s="1"/>
      <c r="B277" s="1" t="s">
        <v>1040</v>
      </c>
      <c r="C277" s="1"/>
      <c r="D277" s="16" t="s">
        <v>1041</v>
      </c>
      <c r="E277" s="74">
        <f aca="true" t="shared" si="105" ref="E277:M278">E278</f>
        <v>2000</v>
      </c>
      <c r="F277" s="451">
        <f t="shared" si="105"/>
        <v>0</v>
      </c>
      <c r="G277" s="141">
        <f t="shared" si="105"/>
        <v>0</v>
      </c>
      <c r="H277" s="461">
        <f t="shared" si="105"/>
        <v>2000</v>
      </c>
      <c r="I277" s="89">
        <f t="shared" si="105"/>
        <v>0</v>
      </c>
      <c r="J277" s="93">
        <f t="shared" si="105"/>
        <v>0</v>
      </c>
      <c r="K277" s="471">
        <f t="shared" si="105"/>
        <v>0</v>
      </c>
      <c r="L277" s="481">
        <f t="shared" si="105"/>
        <v>0</v>
      </c>
      <c r="M277" s="491">
        <f t="shared" si="105"/>
        <v>0</v>
      </c>
      <c r="N277" s="70"/>
      <c r="O277" s="3"/>
    </row>
    <row r="278" spans="1:15" s="62" customFormat="1" ht="12.75">
      <c r="A278" s="1"/>
      <c r="B278" s="1"/>
      <c r="C278" s="1" t="s">
        <v>212</v>
      </c>
      <c r="D278" s="16" t="s">
        <v>45</v>
      </c>
      <c r="E278" s="74">
        <f t="shared" si="105"/>
        <v>2000</v>
      </c>
      <c r="F278" s="451">
        <f t="shared" si="105"/>
        <v>0</v>
      </c>
      <c r="G278" s="141">
        <f t="shared" si="105"/>
        <v>0</v>
      </c>
      <c r="H278" s="461">
        <f t="shared" si="105"/>
        <v>2000</v>
      </c>
      <c r="I278" s="89">
        <f t="shared" si="105"/>
        <v>0</v>
      </c>
      <c r="J278" s="93">
        <f t="shared" si="105"/>
        <v>0</v>
      </c>
      <c r="K278" s="471">
        <f t="shared" si="105"/>
        <v>0</v>
      </c>
      <c r="L278" s="481">
        <f t="shared" si="105"/>
        <v>0</v>
      </c>
      <c r="M278" s="491">
        <f t="shared" si="105"/>
        <v>0</v>
      </c>
      <c r="N278" s="70"/>
      <c r="O278" s="3"/>
    </row>
    <row r="279" spans="1:15" s="62" customFormat="1" ht="25.5">
      <c r="A279" s="1"/>
      <c r="B279" s="1"/>
      <c r="C279" s="1" t="s">
        <v>125</v>
      </c>
      <c r="D279" s="16" t="s">
        <v>290</v>
      </c>
      <c r="E279" s="74">
        <f>F279+G279+H279+I279+J279+K279+L279+M279</f>
        <v>2000</v>
      </c>
      <c r="F279" s="451"/>
      <c r="G279" s="141"/>
      <c r="H279" s="461">
        <v>2000</v>
      </c>
      <c r="I279" s="89"/>
      <c r="J279" s="93"/>
      <c r="K279" s="471"/>
      <c r="L279" s="481"/>
      <c r="M279" s="491"/>
      <c r="N279" s="70"/>
      <c r="O279" s="3"/>
    </row>
    <row r="280" spans="1:15" s="62" customFormat="1" ht="12.75">
      <c r="A280" s="1"/>
      <c r="B280" s="22" t="s">
        <v>110</v>
      </c>
      <c r="C280" s="22"/>
      <c r="D280" s="23" t="s">
        <v>111</v>
      </c>
      <c r="E280" s="74">
        <f t="shared" si="69"/>
        <v>13863.2</v>
      </c>
      <c r="F280" s="452">
        <f>F282</f>
        <v>13863.2</v>
      </c>
      <c r="G280" s="142">
        <f aca="true" t="shared" si="106" ref="G280:M280">G282</f>
        <v>0</v>
      </c>
      <c r="H280" s="462">
        <f t="shared" si="106"/>
        <v>0</v>
      </c>
      <c r="I280" s="90">
        <f t="shared" si="106"/>
        <v>0</v>
      </c>
      <c r="J280" s="94">
        <f t="shared" si="106"/>
        <v>0</v>
      </c>
      <c r="K280" s="474">
        <f t="shared" si="106"/>
        <v>0</v>
      </c>
      <c r="L280" s="482">
        <f t="shared" si="106"/>
        <v>0</v>
      </c>
      <c r="M280" s="494">
        <f t="shared" si="106"/>
        <v>0</v>
      </c>
      <c r="N280" s="3"/>
      <c r="O280" s="3"/>
    </row>
    <row r="281" spans="1:15" s="62" customFormat="1" ht="12.75">
      <c r="A281" s="1"/>
      <c r="B281" s="1" t="s">
        <v>196</v>
      </c>
      <c r="C281" s="1"/>
      <c r="D281" s="48" t="s">
        <v>250</v>
      </c>
      <c r="E281" s="74">
        <f t="shared" si="69"/>
        <v>13863.2</v>
      </c>
      <c r="F281" s="452">
        <f>F282</f>
        <v>13863.2</v>
      </c>
      <c r="G281" s="142">
        <f aca="true" t="shared" si="107" ref="G281:M282">G282</f>
        <v>0</v>
      </c>
      <c r="H281" s="462">
        <f t="shared" si="107"/>
        <v>0</v>
      </c>
      <c r="I281" s="90">
        <f t="shared" si="107"/>
        <v>0</v>
      </c>
      <c r="J281" s="94">
        <f t="shared" si="107"/>
        <v>0</v>
      </c>
      <c r="K281" s="474">
        <f t="shared" si="107"/>
        <v>0</v>
      </c>
      <c r="L281" s="482">
        <f t="shared" si="107"/>
        <v>0</v>
      </c>
      <c r="M281" s="494">
        <f t="shared" si="107"/>
        <v>0</v>
      </c>
      <c r="N281" s="3"/>
      <c r="O281" s="3"/>
    </row>
    <row r="282" spans="1:15" s="62" customFormat="1" ht="25.5" customHeight="1">
      <c r="A282" s="1"/>
      <c r="B282" s="1"/>
      <c r="C282" s="1" t="s">
        <v>232</v>
      </c>
      <c r="D282" s="48" t="s">
        <v>403</v>
      </c>
      <c r="E282" s="74">
        <f t="shared" si="69"/>
        <v>13863.2</v>
      </c>
      <c r="F282" s="452">
        <f>F283</f>
        <v>13863.2</v>
      </c>
      <c r="G282" s="142">
        <f t="shared" si="107"/>
        <v>0</v>
      </c>
      <c r="H282" s="462">
        <f t="shared" si="107"/>
        <v>0</v>
      </c>
      <c r="I282" s="90">
        <f t="shared" si="107"/>
        <v>0</v>
      </c>
      <c r="J282" s="94">
        <f t="shared" si="107"/>
        <v>0</v>
      </c>
      <c r="K282" s="474">
        <f t="shared" si="107"/>
        <v>0</v>
      </c>
      <c r="L282" s="482">
        <f t="shared" si="107"/>
        <v>0</v>
      </c>
      <c r="M282" s="494">
        <f t="shared" si="107"/>
        <v>0</v>
      </c>
      <c r="N282" s="3"/>
      <c r="O282" s="3"/>
    </row>
    <row r="283" spans="1:15" s="62" customFormat="1" ht="12.75">
      <c r="A283" s="1"/>
      <c r="B283" s="1"/>
      <c r="C283" s="1" t="s">
        <v>132</v>
      </c>
      <c r="D283" s="16" t="s">
        <v>251</v>
      </c>
      <c r="E283" s="74">
        <f t="shared" si="69"/>
        <v>13863.2</v>
      </c>
      <c r="F283" s="452">
        <v>13863.2</v>
      </c>
      <c r="G283" s="142"/>
      <c r="H283" s="462"/>
      <c r="I283" s="90"/>
      <c r="J283" s="94"/>
      <c r="K283" s="474"/>
      <c r="L283" s="482"/>
      <c r="M283" s="494"/>
      <c r="N283" s="3"/>
      <c r="O283" s="3"/>
    </row>
    <row r="284" spans="1:15" s="62" customFormat="1" ht="12.75">
      <c r="A284" s="1"/>
      <c r="B284" s="1" t="s">
        <v>376</v>
      </c>
      <c r="C284" s="1"/>
      <c r="D284" s="16" t="s">
        <v>379</v>
      </c>
      <c r="E284" s="74">
        <f>E285</f>
        <v>-31256</v>
      </c>
      <c r="F284" s="451">
        <f aca="true" t="shared" si="108" ref="F284:M284">F285</f>
        <v>-31256</v>
      </c>
      <c r="G284" s="141">
        <f t="shared" si="108"/>
        <v>0</v>
      </c>
      <c r="H284" s="461">
        <f t="shared" si="108"/>
        <v>0</v>
      </c>
      <c r="I284" s="89">
        <f t="shared" si="108"/>
        <v>0</v>
      </c>
      <c r="J284" s="93">
        <f t="shared" si="108"/>
        <v>0</v>
      </c>
      <c r="K284" s="471">
        <f t="shared" si="108"/>
        <v>0</v>
      </c>
      <c r="L284" s="481">
        <f t="shared" si="108"/>
        <v>0</v>
      </c>
      <c r="M284" s="491">
        <f t="shared" si="108"/>
        <v>0</v>
      </c>
      <c r="N284" s="3"/>
      <c r="O284" s="3"/>
    </row>
    <row r="285" spans="1:15" s="62" customFormat="1" ht="12.75">
      <c r="A285" s="1"/>
      <c r="B285" s="1" t="s">
        <v>377</v>
      </c>
      <c r="C285" s="1"/>
      <c r="D285" s="16" t="s">
        <v>380</v>
      </c>
      <c r="E285" s="74">
        <f>E286+E288</f>
        <v>-31256</v>
      </c>
      <c r="F285" s="451">
        <f aca="true" t="shared" si="109" ref="F285:M285">F286+F288</f>
        <v>-31256</v>
      </c>
      <c r="G285" s="141">
        <f t="shared" si="109"/>
        <v>0</v>
      </c>
      <c r="H285" s="461">
        <f t="shared" si="109"/>
        <v>0</v>
      </c>
      <c r="I285" s="89">
        <f t="shared" si="109"/>
        <v>0</v>
      </c>
      <c r="J285" s="93">
        <f t="shared" si="109"/>
        <v>0</v>
      </c>
      <c r="K285" s="471">
        <f t="shared" si="109"/>
        <v>0</v>
      </c>
      <c r="L285" s="481">
        <f t="shared" si="109"/>
        <v>0</v>
      </c>
      <c r="M285" s="491">
        <f t="shared" si="109"/>
        <v>0</v>
      </c>
      <c r="N285" s="3"/>
      <c r="O285" s="3"/>
    </row>
    <row r="286" spans="1:15" s="62" customFormat="1" ht="12.75">
      <c r="A286" s="1"/>
      <c r="B286" s="1"/>
      <c r="C286" s="1" t="s">
        <v>210</v>
      </c>
      <c r="D286" s="16" t="s">
        <v>211</v>
      </c>
      <c r="E286" s="74">
        <f>E287</f>
        <v>-310</v>
      </c>
      <c r="F286" s="451">
        <f aca="true" t="shared" si="110" ref="F286:M286">F287</f>
        <v>-310</v>
      </c>
      <c r="G286" s="141">
        <f t="shared" si="110"/>
        <v>0</v>
      </c>
      <c r="H286" s="461">
        <f t="shared" si="110"/>
        <v>0</v>
      </c>
      <c r="I286" s="89">
        <f t="shared" si="110"/>
        <v>0</v>
      </c>
      <c r="J286" s="93">
        <f t="shared" si="110"/>
        <v>0</v>
      </c>
      <c r="K286" s="471">
        <f t="shared" si="110"/>
        <v>0</v>
      </c>
      <c r="L286" s="481">
        <f t="shared" si="110"/>
        <v>0</v>
      </c>
      <c r="M286" s="491">
        <f t="shared" si="110"/>
        <v>0</v>
      </c>
      <c r="N286" s="3"/>
      <c r="O286" s="3"/>
    </row>
    <row r="287" spans="1:15" s="62" customFormat="1" ht="12.75">
      <c r="A287" s="1"/>
      <c r="B287" s="1"/>
      <c r="C287" s="1" t="s">
        <v>8</v>
      </c>
      <c r="D287" s="16" t="s">
        <v>216</v>
      </c>
      <c r="E287" s="74">
        <f t="shared" si="69"/>
        <v>-310</v>
      </c>
      <c r="F287" s="452">
        <v>-310</v>
      </c>
      <c r="G287" s="142"/>
      <c r="H287" s="462"/>
      <c r="I287" s="90"/>
      <c r="J287" s="94"/>
      <c r="K287" s="474"/>
      <c r="L287" s="482"/>
      <c r="M287" s="494"/>
      <c r="N287" s="3"/>
      <c r="O287" s="3"/>
    </row>
    <row r="288" spans="1:15" s="62" customFormat="1" ht="12.75">
      <c r="A288" s="1"/>
      <c r="B288" s="1"/>
      <c r="C288" s="1" t="s">
        <v>225</v>
      </c>
      <c r="D288" s="16" t="s">
        <v>226</v>
      </c>
      <c r="E288" s="74">
        <f>E289</f>
        <v>-30946</v>
      </c>
      <c r="F288" s="451">
        <f aca="true" t="shared" si="111" ref="F288:M288">F289</f>
        <v>-30946</v>
      </c>
      <c r="G288" s="141">
        <f t="shared" si="111"/>
        <v>0</v>
      </c>
      <c r="H288" s="461">
        <f t="shared" si="111"/>
        <v>0</v>
      </c>
      <c r="I288" s="89">
        <f t="shared" si="111"/>
        <v>0</v>
      </c>
      <c r="J288" s="93">
        <f t="shared" si="111"/>
        <v>0</v>
      </c>
      <c r="K288" s="471">
        <f t="shared" si="111"/>
        <v>0</v>
      </c>
      <c r="L288" s="481">
        <f t="shared" si="111"/>
        <v>0</v>
      </c>
      <c r="M288" s="491">
        <f t="shared" si="111"/>
        <v>0</v>
      </c>
      <c r="N288" s="3"/>
      <c r="O288" s="3"/>
    </row>
    <row r="289" spans="1:15" s="62" customFormat="1" ht="12.75">
      <c r="A289" s="1"/>
      <c r="B289" s="1"/>
      <c r="C289" s="1" t="s">
        <v>378</v>
      </c>
      <c r="D289" s="16" t="s">
        <v>381</v>
      </c>
      <c r="E289" s="74">
        <f>F289+G289+H289+I289+J289+K289+L289+M289</f>
        <v>-30946</v>
      </c>
      <c r="F289" s="452">
        <v>-30946</v>
      </c>
      <c r="G289" s="142"/>
      <c r="H289" s="462"/>
      <c r="I289" s="90"/>
      <c r="J289" s="94"/>
      <c r="K289" s="474"/>
      <c r="L289" s="482"/>
      <c r="M289" s="494"/>
      <c r="N289" s="3"/>
      <c r="O289" s="3"/>
    </row>
    <row r="290" spans="1:15" s="62" customFormat="1" ht="12.75">
      <c r="A290" s="81"/>
      <c r="B290" s="1" t="s">
        <v>37</v>
      </c>
      <c r="C290" s="1"/>
      <c r="D290" s="16" t="s">
        <v>38</v>
      </c>
      <c r="E290" s="74">
        <f t="shared" si="69"/>
        <v>-6119.882</v>
      </c>
      <c r="F290" s="452">
        <f aca="true" t="shared" si="112" ref="F290:M290">F291</f>
        <v>0</v>
      </c>
      <c r="G290" s="142">
        <f t="shared" si="112"/>
        <v>0</v>
      </c>
      <c r="H290" s="462">
        <f t="shared" si="112"/>
        <v>0</v>
      </c>
      <c r="I290" s="90">
        <f t="shared" si="112"/>
        <v>0</v>
      </c>
      <c r="J290" s="94">
        <f t="shared" si="112"/>
        <v>0</v>
      </c>
      <c r="K290" s="474">
        <f t="shared" si="112"/>
        <v>-7327.7</v>
      </c>
      <c r="L290" s="482">
        <f t="shared" si="112"/>
        <v>1207.818</v>
      </c>
      <c r="M290" s="494">
        <f t="shared" si="112"/>
        <v>0</v>
      </c>
      <c r="N290" s="70"/>
      <c r="O290" s="3"/>
    </row>
    <row r="291" spans="1:15" s="62" customFormat="1" ht="25.5">
      <c r="A291" s="81"/>
      <c r="B291" s="1" t="s">
        <v>209</v>
      </c>
      <c r="C291" s="1"/>
      <c r="D291" s="49" t="s">
        <v>3</v>
      </c>
      <c r="E291" s="74">
        <f>E292+E294+E297</f>
        <v>-6119.882</v>
      </c>
      <c r="F291" s="451">
        <f aca="true" t="shared" si="113" ref="F291:M291">F292+F294+F297</f>
        <v>0</v>
      </c>
      <c r="G291" s="141">
        <f t="shared" si="113"/>
        <v>0</v>
      </c>
      <c r="H291" s="461">
        <f t="shared" si="113"/>
        <v>0</v>
      </c>
      <c r="I291" s="89">
        <f t="shared" si="113"/>
        <v>0</v>
      </c>
      <c r="J291" s="93">
        <f t="shared" si="113"/>
        <v>0</v>
      </c>
      <c r="K291" s="471">
        <f>K292+K294+K297</f>
        <v>-7327.7</v>
      </c>
      <c r="L291" s="481">
        <f t="shared" si="113"/>
        <v>1207.818</v>
      </c>
      <c r="M291" s="491">
        <f t="shared" si="113"/>
        <v>0</v>
      </c>
      <c r="N291" s="70"/>
      <c r="O291" s="3"/>
    </row>
    <row r="292" spans="1:15" s="62" customFormat="1" ht="12.75">
      <c r="A292" s="81"/>
      <c r="B292" s="59"/>
      <c r="C292" s="1" t="s">
        <v>210</v>
      </c>
      <c r="D292" s="16" t="s">
        <v>211</v>
      </c>
      <c r="E292" s="74">
        <f>E293</f>
        <v>-1877.7</v>
      </c>
      <c r="F292" s="451">
        <f aca="true" t="shared" si="114" ref="F292:M292">F293</f>
        <v>0</v>
      </c>
      <c r="G292" s="141">
        <f t="shared" si="114"/>
        <v>0</v>
      </c>
      <c r="H292" s="461">
        <f t="shared" si="114"/>
        <v>0</v>
      </c>
      <c r="I292" s="89">
        <f t="shared" si="114"/>
        <v>0</v>
      </c>
      <c r="J292" s="93">
        <f t="shared" si="114"/>
        <v>0</v>
      </c>
      <c r="K292" s="471">
        <f t="shared" si="114"/>
        <v>-1877.7</v>
      </c>
      <c r="L292" s="481">
        <f t="shared" si="114"/>
        <v>0</v>
      </c>
      <c r="M292" s="491">
        <f t="shared" si="114"/>
        <v>0</v>
      </c>
      <c r="N292" s="70"/>
      <c r="O292" s="3"/>
    </row>
    <row r="293" spans="1:15" s="62" customFormat="1" ht="12.75">
      <c r="A293" s="81"/>
      <c r="B293" s="59"/>
      <c r="C293" s="1" t="s">
        <v>8</v>
      </c>
      <c r="D293" s="16" t="s">
        <v>216</v>
      </c>
      <c r="E293" s="74">
        <f>F293+G293+H293+I293+J293+K293+L293+M293</f>
        <v>-1877.7</v>
      </c>
      <c r="F293" s="452"/>
      <c r="G293" s="142"/>
      <c r="H293" s="462"/>
      <c r="I293" s="90"/>
      <c r="J293" s="94"/>
      <c r="K293" s="474">
        <v>-1877.7</v>
      </c>
      <c r="L293" s="482"/>
      <c r="M293" s="494"/>
      <c r="N293" s="70"/>
      <c r="O293" s="3"/>
    </row>
    <row r="294" spans="1:15" s="62" customFormat="1" ht="12.75">
      <c r="A294" s="81"/>
      <c r="B294" s="59"/>
      <c r="C294" s="1" t="s">
        <v>326</v>
      </c>
      <c r="D294" s="16" t="s">
        <v>45</v>
      </c>
      <c r="E294" s="74">
        <f>E295</f>
        <v>-5450</v>
      </c>
      <c r="F294" s="451">
        <f aca="true" t="shared" si="115" ref="F294:M295">F295</f>
        <v>0</v>
      </c>
      <c r="G294" s="141">
        <f t="shared" si="115"/>
        <v>0</v>
      </c>
      <c r="H294" s="461">
        <f t="shared" si="115"/>
        <v>0</v>
      </c>
      <c r="I294" s="89">
        <f t="shared" si="115"/>
        <v>0</v>
      </c>
      <c r="J294" s="93">
        <f t="shared" si="115"/>
        <v>0</v>
      </c>
      <c r="K294" s="471">
        <f t="shared" si="115"/>
        <v>-5450</v>
      </c>
      <c r="L294" s="481">
        <f t="shared" si="115"/>
        <v>0</v>
      </c>
      <c r="M294" s="491">
        <f t="shared" si="115"/>
        <v>0</v>
      </c>
      <c r="N294" s="70"/>
      <c r="O294" s="3"/>
    </row>
    <row r="295" spans="1:15" s="62" customFormat="1" ht="12.75">
      <c r="A295" s="81"/>
      <c r="B295" s="59"/>
      <c r="C295" s="1" t="s">
        <v>190</v>
      </c>
      <c r="D295" s="16" t="s">
        <v>299</v>
      </c>
      <c r="E295" s="74">
        <f>E296</f>
        <v>-5450</v>
      </c>
      <c r="F295" s="451">
        <f t="shared" si="115"/>
        <v>0</v>
      </c>
      <c r="G295" s="141">
        <f t="shared" si="115"/>
        <v>0</v>
      </c>
      <c r="H295" s="461">
        <f t="shared" si="115"/>
        <v>0</v>
      </c>
      <c r="I295" s="89">
        <f t="shared" si="115"/>
        <v>0</v>
      </c>
      <c r="J295" s="93">
        <f t="shared" si="115"/>
        <v>0</v>
      </c>
      <c r="K295" s="471">
        <f t="shared" si="115"/>
        <v>-5450</v>
      </c>
      <c r="L295" s="481">
        <f t="shared" si="115"/>
        <v>0</v>
      </c>
      <c r="M295" s="491">
        <f t="shared" si="115"/>
        <v>0</v>
      </c>
      <c r="N295" s="70"/>
      <c r="O295" s="3"/>
    </row>
    <row r="296" spans="1:15" s="62" customFormat="1" ht="25.5">
      <c r="A296" s="81"/>
      <c r="B296" s="59"/>
      <c r="C296" s="1"/>
      <c r="D296" s="49" t="s">
        <v>1098</v>
      </c>
      <c r="E296" s="74">
        <f>F296+G296+H296+I296+J296+K296+L296+M296</f>
        <v>-5450</v>
      </c>
      <c r="F296" s="452"/>
      <c r="G296" s="142"/>
      <c r="H296" s="462"/>
      <c r="I296" s="90"/>
      <c r="J296" s="94"/>
      <c r="K296" s="474">
        <v>-5450</v>
      </c>
      <c r="L296" s="482"/>
      <c r="M296" s="494"/>
      <c r="N296" s="70"/>
      <c r="O296" s="3"/>
    </row>
    <row r="297" spans="1:15" s="62" customFormat="1" ht="12.75">
      <c r="A297" s="81"/>
      <c r="B297" s="59" t="s">
        <v>177</v>
      </c>
      <c r="C297" s="1"/>
      <c r="D297" s="16" t="s">
        <v>166</v>
      </c>
      <c r="E297" s="74">
        <f t="shared" si="69"/>
        <v>1207.818</v>
      </c>
      <c r="F297" s="452">
        <f aca="true" t="shared" si="116" ref="F297:M297">F298+F300</f>
        <v>0</v>
      </c>
      <c r="G297" s="142">
        <f t="shared" si="116"/>
        <v>0</v>
      </c>
      <c r="H297" s="462">
        <f t="shared" si="116"/>
        <v>0</v>
      </c>
      <c r="I297" s="90">
        <f t="shared" si="116"/>
        <v>0</v>
      </c>
      <c r="J297" s="94">
        <f t="shared" si="116"/>
        <v>0</v>
      </c>
      <c r="K297" s="474">
        <f t="shared" si="116"/>
        <v>0</v>
      </c>
      <c r="L297" s="482">
        <f t="shared" si="116"/>
        <v>1207.818</v>
      </c>
      <c r="M297" s="494">
        <f t="shared" si="116"/>
        <v>0</v>
      </c>
      <c r="N297" s="70"/>
      <c r="O297" s="3"/>
    </row>
    <row r="298" spans="1:15" s="62" customFormat="1" ht="12.75">
      <c r="A298" s="81"/>
      <c r="B298" s="59"/>
      <c r="C298" s="1" t="s">
        <v>210</v>
      </c>
      <c r="D298" s="16" t="s">
        <v>211</v>
      </c>
      <c r="E298" s="74">
        <f t="shared" si="69"/>
        <v>1055.815</v>
      </c>
      <c r="F298" s="452">
        <f aca="true" t="shared" si="117" ref="F298:M298">F299</f>
        <v>0</v>
      </c>
      <c r="G298" s="142">
        <f t="shared" si="117"/>
        <v>0</v>
      </c>
      <c r="H298" s="462">
        <f t="shared" si="117"/>
        <v>0</v>
      </c>
      <c r="I298" s="90">
        <f t="shared" si="117"/>
        <v>0</v>
      </c>
      <c r="J298" s="94">
        <f t="shared" si="117"/>
        <v>0</v>
      </c>
      <c r="K298" s="474">
        <f t="shared" si="117"/>
        <v>0</v>
      </c>
      <c r="L298" s="482">
        <f t="shared" si="117"/>
        <v>1055.815</v>
      </c>
      <c r="M298" s="494">
        <f t="shared" si="117"/>
        <v>0</v>
      </c>
      <c r="N298" s="70"/>
      <c r="O298" s="3"/>
    </row>
    <row r="299" spans="1:15" s="62" customFormat="1" ht="12.75">
      <c r="A299" s="81"/>
      <c r="B299" s="59"/>
      <c r="C299" s="1" t="s">
        <v>8</v>
      </c>
      <c r="D299" s="16" t="s">
        <v>216</v>
      </c>
      <c r="E299" s="74">
        <f t="shared" si="69"/>
        <v>1055.815</v>
      </c>
      <c r="F299" s="452"/>
      <c r="G299" s="142"/>
      <c r="H299" s="462"/>
      <c r="I299" s="90"/>
      <c r="J299" s="94"/>
      <c r="K299" s="474"/>
      <c r="L299" s="482">
        <v>1055.815</v>
      </c>
      <c r="M299" s="494"/>
      <c r="N299" s="70"/>
      <c r="O299" s="3"/>
    </row>
    <row r="300" spans="1:15" s="62" customFormat="1" ht="26.25" customHeight="1">
      <c r="A300" s="1"/>
      <c r="B300" s="1"/>
      <c r="C300" s="1" t="s">
        <v>232</v>
      </c>
      <c r="D300" s="48" t="s">
        <v>403</v>
      </c>
      <c r="E300" s="74">
        <f t="shared" si="69"/>
        <v>152.003</v>
      </c>
      <c r="F300" s="452">
        <f>F301</f>
        <v>0</v>
      </c>
      <c r="G300" s="142">
        <f aca="true" t="shared" si="118" ref="G300:M300">G301</f>
        <v>0</v>
      </c>
      <c r="H300" s="462">
        <f t="shared" si="118"/>
        <v>0</v>
      </c>
      <c r="I300" s="90">
        <f t="shared" si="118"/>
        <v>0</v>
      </c>
      <c r="J300" s="94">
        <f t="shared" si="118"/>
        <v>0</v>
      </c>
      <c r="K300" s="474">
        <f t="shared" si="118"/>
        <v>0</v>
      </c>
      <c r="L300" s="482">
        <f t="shared" si="118"/>
        <v>152.003</v>
      </c>
      <c r="M300" s="494">
        <f t="shared" si="118"/>
        <v>0</v>
      </c>
      <c r="N300" s="3"/>
      <c r="O300" s="3"/>
    </row>
    <row r="301" spans="1:15" s="62" customFormat="1" ht="12.75">
      <c r="A301" s="1"/>
      <c r="B301" s="1"/>
      <c r="C301" s="1" t="s">
        <v>132</v>
      </c>
      <c r="D301" s="16" t="s">
        <v>251</v>
      </c>
      <c r="E301" s="74">
        <f t="shared" si="69"/>
        <v>152.003</v>
      </c>
      <c r="F301" s="452"/>
      <c r="G301" s="142"/>
      <c r="H301" s="462"/>
      <c r="I301" s="90"/>
      <c r="J301" s="94"/>
      <c r="K301" s="474"/>
      <c r="L301" s="482">
        <v>152.003</v>
      </c>
      <c r="M301" s="494"/>
      <c r="N301" s="3"/>
      <c r="O301" s="3"/>
    </row>
    <row r="302" spans="1:15" s="62" customFormat="1" ht="12.75">
      <c r="A302" s="1"/>
      <c r="B302" s="1" t="s">
        <v>54</v>
      </c>
      <c r="C302" s="1"/>
      <c r="D302" s="16" t="s">
        <v>55</v>
      </c>
      <c r="E302" s="74">
        <f t="shared" si="69"/>
        <v>3517.3999999999996</v>
      </c>
      <c r="F302" s="452">
        <f>F303</f>
        <v>0</v>
      </c>
      <c r="G302" s="142">
        <f aca="true" t="shared" si="119" ref="G302:M303">G303</f>
        <v>3517.3999999999996</v>
      </c>
      <c r="H302" s="462">
        <f t="shared" si="119"/>
        <v>0</v>
      </c>
      <c r="I302" s="90">
        <f t="shared" si="119"/>
        <v>0</v>
      </c>
      <c r="J302" s="94">
        <f t="shared" si="119"/>
        <v>0</v>
      </c>
      <c r="K302" s="474">
        <f t="shared" si="119"/>
        <v>0</v>
      </c>
      <c r="L302" s="482">
        <f t="shared" si="119"/>
        <v>0</v>
      </c>
      <c r="M302" s="494">
        <f t="shared" si="119"/>
        <v>0</v>
      </c>
      <c r="N302" s="3"/>
      <c r="O302" s="3"/>
    </row>
    <row r="303" spans="1:15" s="62" customFormat="1" ht="12.75">
      <c r="A303" s="1"/>
      <c r="B303" s="1" t="s">
        <v>56</v>
      </c>
      <c r="C303" s="1"/>
      <c r="D303" s="16" t="s">
        <v>57</v>
      </c>
      <c r="E303" s="74">
        <f>E304</f>
        <v>3517.3999999999996</v>
      </c>
      <c r="F303" s="451">
        <f>F304</f>
        <v>0</v>
      </c>
      <c r="G303" s="141">
        <f t="shared" si="119"/>
        <v>3517.3999999999996</v>
      </c>
      <c r="H303" s="461">
        <f t="shared" si="119"/>
        <v>0</v>
      </c>
      <c r="I303" s="89">
        <f t="shared" si="119"/>
        <v>0</v>
      </c>
      <c r="J303" s="93">
        <f t="shared" si="119"/>
        <v>0</v>
      </c>
      <c r="K303" s="471">
        <f t="shared" si="119"/>
        <v>0</v>
      </c>
      <c r="L303" s="481">
        <f t="shared" si="119"/>
        <v>0</v>
      </c>
      <c r="M303" s="491">
        <f t="shared" si="119"/>
        <v>0</v>
      </c>
      <c r="N303" s="3"/>
      <c r="O303" s="3"/>
    </row>
    <row r="304" spans="1:15" s="62" customFormat="1" ht="12.75" customHeight="1">
      <c r="A304" s="1"/>
      <c r="B304" s="59" t="s">
        <v>58</v>
      </c>
      <c r="C304" s="1"/>
      <c r="D304" s="16" t="s">
        <v>220</v>
      </c>
      <c r="E304" s="74">
        <f>E305+E307</f>
        <v>3517.3999999999996</v>
      </c>
      <c r="F304" s="451">
        <f aca="true" t="shared" si="120" ref="F304:M304">F305+F307</f>
        <v>0</v>
      </c>
      <c r="G304" s="141">
        <f t="shared" si="120"/>
        <v>3517.3999999999996</v>
      </c>
      <c r="H304" s="461">
        <f t="shared" si="120"/>
        <v>0</v>
      </c>
      <c r="I304" s="89">
        <f t="shared" si="120"/>
        <v>0</v>
      </c>
      <c r="J304" s="93">
        <f t="shared" si="120"/>
        <v>0</v>
      </c>
      <c r="K304" s="471">
        <f t="shared" si="120"/>
        <v>0</v>
      </c>
      <c r="L304" s="481">
        <f t="shared" si="120"/>
        <v>0</v>
      </c>
      <c r="M304" s="491">
        <f t="shared" si="120"/>
        <v>0</v>
      </c>
      <c r="N304" s="3"/>
      <c r="O304" s="3"/>
    </row>
    <row r="305" spans="1:15" s="62" customFormat="1" ht="12.75">
      <c r="A305" s="1"/>
      <c r="B305" s="59"/>
      <c r="C305" s="1" t="s">
        <v>210</v>
      </c>
      <c r="D305" s="16" t="s">
        <v>211</v>
      </c>
      <c r="E305" s="74">
        <f>E306</f>
        <v>-3822.3</v>
      </c>
      <c r="F305" s="451">
        <f aca="true" t="shared" si="121" ref="F305:M305">F306</f>
        <v>0</v>
      </c>
      <c r="G305" s="141">
        <f t="shared" si="121"/>
        <v>-3822.3</v>
      </c>
      <c r="H305" s="461">
        <f t="shared" si="121"/>
        <v>0</v>
      </c>
      <c r="I305" s="89">
        <f t="shared" si="121"/>
        <v>0</v>
      </c>
      <c r="J305" s="93">
        <f t="shared" si="121"/>
        <v>0</v>
      </c>
      <c r="K305" s="471">
        <f t="shared" si="121"/>
        <v>0</v>
      </c>
      <c r="L305" s="481">
        <f t="shared" si="121"/>
        <v>0</v>
      </c>
      <c r="M305" s="491">
        <f t="shared" si="121"/>
        <v>0</v>
      </c>
      <c r="N305" s="3"/>
      <c r="O305" s="3"/>
    </row>
    <row r="306" spans="1:15" s="62" customFormat="1" ht="12.75">
      <c r="A306" s="1"/>
      <c r="B306" s="59"/>
      <c r="C306" s="1" t="s">
        <v>8</v>
      </c>
      <c r="D306" s="16" t="s">
        <v>216</v>
      </c>
      <c r="E306" s="74">
        <f t="shared" si="69"/>
        <v>-3822.3</v>
      </c>
      <c r="F306" s="452"/>
      <c r="G306" s="142">
        <v>-3822.3</v>
      </c>
      <c r="H306" s="462"/>
      <c r="I306" s="90"/>
      <c r="J306" s="94"/>
      <c r="K306" s="474"/>
      <c r="L306" s="482"/>
      <c r="M306" s="494"/>
      <c r="N306" s="3"/>
      <c r="O306" s="3"/>
    </row>
    <row r="307" spans="1:15" s="62" customFormat="1" ht="27" customHeight="1">
      <c r="A307" s="1"/>
      <c r="B307" s="59"/>
      <c r="C307" s="1" t="s">
        <v>232</v>
      </c>
      <c r="D307" s="48" t="s">
        <v>403</v>
      </c>
      <c r="E307" s="74">
        <f>E308</f>
        <v>7339.7</v>
      </c>
      <c r="F307" s="451">
        <f aca="true" t="shared" si="122" ref="F307:M307">F308</f>
        <v>0</v>
      </c>
      <c r="G307" s="141">
        <f t="shared" si="122"/>
        <v>7339.7</v>
      </c>
      <c r="H307" s="461">
        <f t="shared" si="122"/>
        <v>0</v>
      </c>
      <c r="I307" s="89">
        <f t="shared" si="122"/>
        <v>0</v>
      </c>
      <c r="J307" s="93">
        <f t="shared" si="122"/>
        <v>0</v>
      </c>
      <c r="K307" s="471">
        <f t="shared" si="122"/>
        <v>0</v>
      </c>
      <c r="L307" s="481">
        <f t="shared" si="122"/>
        <v>0</v>
      </c>
      <c r="M307" s="491">
        <f t="shared" si="122"/>
        <v>0</v>
      </c>
      <c r="N307" s="3"/>
      <c r="O307" s="3"/>
    </row>
    <row r="308" spans="1:15" s="62" customFormat="1" ht="12.75">
      <c r="A308" s="1"/>
      <c r="B308" s="59"/>
      <c r="C308" s="1" t="s">
        <v>132</v>
      </c>
      <c r="D308" s="16" t="s">
        <v>251</v>
      </c>
      <c r="E308" s="74">
        <f t="shared" si="69"/>
        <v>7339.7</v>
      </c>
      <c r="F308" s="452"/>
      <c r="G308" s="142">
        <f>72.2+7267.5</f>
        <v>7339.7</v>
      </c>
      <c r="H308" s="462"/>
      <c r="I308" s="90"/>
      <c r="J308" s="94"/>
      <c r="K308" s="474"/>
      <c r="L308" s="482"/>
      <c r="M308" s="494"/>
      <c r="N308" s="3"/>
      <c r="O308" s="3"/>
    </row>
    <row r="309" spans="1:15" s="62" customFormat="1" ht="12.75">
      <c r="A309" s="1" t="s">
        <v>5</v>
      </c>
      <c r="B309" s="1"/>
      <c r="C309" s="1"/>
      <c r="D309" s="16" t="s">
        <v>53</v>
      </c>
      <c r="E309" s="74">
        <f aca="true" t="shared" si="123" ref="E309:M309">E310+E323+E328+E332+E337+E349+E357</f>
        <v>28533.902000000002</v>
      </c>
      <c r="F309" s="451">
        <f t="shared" si="123"/>
        <v>4192.900000000001</v>
      </c>
      <c r="G309" s="141">
        <f t="shared" si="123"/>
        <v>790.7</v>
      </c>
      <c r="H309" s="461">
        <f t="shared" si="123"/>
        <v>2416.627</v>
      </c>
      <c r="I309" s="89">
        <f t="shared" si="123"/>
        <v>16085.900000000001</v>
      </c>
      <c r="J309" s="93">
        <f t="shared" si="123"/>
        <v>0</v>
      </c>
      <c r="K309" s="471">
        <f t="shared" si="123"/>
        <v>3820.462</v>
      </c>
      <c r="L309" s="481">
        <f t="shared" si="123"/>
        <v>1227.313</v>
      </c>
      <c r="M309" s="491">
        <f t="shared" si="123"/>
        <v>0</v>
      </c>
      <c r="N309" s="70"/>
      <c r="O309" s="3"/>
    </row>
    <row r="310" spans="1:15" s="62" customFormat="1" ht="25.5">
      <c r="A310" s="1"/>
      <c r="B310" s="1" t="s">
        <v>323</v>
      </c>
      <c r="C310" s="1"/>
      <c r="D310" s="16" t="s">
        <v>329</v>
      </c>
      <c r="E310" s="74">
        <f>E311</f>
        <v>2416.627</v>
      </c>
      <c r="F310" s="451">
        <f aca="true" t="shared" si="124" ref="F310:M310">F311</f>
        <v>0</v>
      </c>
      <c r="G310" s="141">
        <f t="shared" si="124"/>
        <v>0</v>
      </c>
      <c r="H310" s="461">
        <f t="shared" si="124"/>
        <v>2416.627</v>
      </c>
      <c r="I310" s="89">
        <f t="shared" si="124"/>
        <v>0</v>
      </c>
      <c r="J310" s="93">
        <f t="shared" si="124"/>
        <v>0</v>
      </c>
      <c r="K310" s="471">
        <f t="shared" si="124"/>
        <v>0</v>
      </c>
      <c r="L310" s="481">
        <f t="shared" si="124"/>
        <v>0</v>
      </c>
      <c r="M310" s="491">
        <f t="shared" si="124"/>
        <v>0</v>
      </c>
      <c r="N310" s="70"/>
      <c r="O310" s="3"/>
    </row>
    <row r="311" spans="1:15" s="62" customFormat="1" ht="12.75">
      <c r="A311" s="1"/>
      <c r="B311" s="1" t="s">
        <v>324</v>
      </c>
      <c r="C311" s="1"/>
      <c r="D311" s="16" t="s">
        <v>330</v>
      </c>
      <c r="E311" s="74">
        <f>E312+E317+E320</f>
        <v>2416.627</v>
      </c>
      <c r="F311" s="451">
        <f aca="true" t="shared" si="125" ref="F311:M311">F312+F317+F320</f>
        <v>0</v>
      </c>
      <c r="G311" s="141">
        <f t="shared" si="125"/>
        <v>0</v>
      </c>
      <c r="H311" s="461">
        <f t="shared" si="125"/>
        <v>2416.627</v>
      </c>
      <c r="I311" s="89">
        <f t="shared" si="125"/>
        <v>0</v>
      </c>
      <c r="J311" s="93">
        <f t="shared" si="125"/>
        <v>0</v>
      </c>
      <c r="K311" s="471">
        <f t="shared" si="125"/>
        <v>0</v>
      </c>
      <c r="L311" s="481">
        <f t="shared" si="125"/>
        <v>0</v>
      </c>
      <c r="M311" s="491">
        <f t="shared" si="125"/>
        <v>0</v>
      </c>
      <c r="N311" s="70"/>
      <c r="O311" s="3"/>
    </row>
    <row r="312" spans="1:15" s="62" customFormat="1" ht="27" customHeight="1">
      <c r="A312" s="1"/>
      <c r="B312" s="1"/>
      <c r="C312" s="1" t="s">
        <v>232</v>
      </c>
      <c r="D312" s="48" t="s">
        <v>403</v>
      </c>
      <c r="E312" s="74">
        <f>E313</f>
        <v>1200</v>
      </c>
      <c r="F312" s="451">
        <f aca="true" t="shared" si="126" ref="F312:M312">F313</f>
        <v>0</v>
      </c>
      <c r="G312" s="141">
        <f t="shared" si="126"/>
        <v>0</v>
      </c>
      <c r="H312" s="461">
        <f t="shared" si="126"/>
        <v>1200</v>
      </c>
      <c r="I312" s="89">
        <f t="shared" si="126"/>
        <v>0</v>
      </c>
      <c r="J312" s="93">
        <f t="shared" si="126"/>
        <v>0</v>
      </c>
      <c r="K312" s="471">
        <f t="shared" si="126"/>
        <v>0</v>
      </c>
      <c r="L312" s="481">
        <f t="shared" si="126"/>
        <v>0</v>
      </c>
      <c r="M312" s="491">
        <f t="shared" si="126"/>
        <v>0</v>
      </c>
      <c r="N312" s="70"/>
      <c r="O312" s="3"/>
    </row>
    <row r="313" spans="1:15" s="62" customFormat="1" ht="12.75">
      <c r="A313" s="1"/>
      <c r="B313" s="1"/>
      <c r="C313" s="1" t="s">
        <v>131</v>
      </c>
      <c r="D313" s="16" t="s">
        <v>663</v>
      </c>
      <c r="E313" s="74">
        <f>E314+E315+E316</f>
        <v>1200</v>
      </c>
      <c r="F313" s="451">
        <f aca="true" t="shared" si="127" ref="F313:M313">F314+F315+F316</f>
        <v>0</v>
      </c>
      <c r="G313" s="141">
        <f t="shared" si="127"/>
        <v>0</v>
      </c>
      <c r="H313" s="461">
        <f t="shared" si="127"/>
        <v>1200</v>
      </c>
      <c r="I313" s="89">
        <f t="shared" si="127"/>
        <v>0</v>
      </c>
      <c r="J313" s="93">
        <f t="shared" si="127"/>
        <v>0</v>
      </c>
      <c r="K313" s="471">
        <f t="shared" si="127"/>
        <v>0</v>
      </c>
      <c r="L313" s="481">
        <f t="shared" si="127"/>
        <v>0</v>
      </c>
      <c r="M313" s="491">
        <f t="shared" si="127"/>
        <v>0</v>
      </c>
      <c r="N313" s="70"/>
      <c r="O313" s="3"/>
    </row>
    <row r="314" spans="1:15" s="62" customFormat="1" ht="12.75">
      <c r="A314" s="1"/>
      <c r="B314" s="1" t="s">
        <v>368</v>
      </c>
      <c r="C314" s="1"/>
      <c r="D314" s="16" t="s">
        <v>1034</v>
      </c>
      <c r="E314" s="74">
        <f t="shared" si="69"/>
        <v>400</v>
      </c>
      <c r="F314" s="451"/>
      <c r="G314" s="141"/>
      <c r="H314" s="461">
        <v>400</v>
      </c>
      <c r="I314" s="89"/>
      <c r="J314" s="93"/>
      <c r="K314" s="471"/>
      <c r="L314" s="481"/>
      <c r="M314" s="491"/>
      <c r="N314" s="70"/>
      <c r="O314" s="3"/>
    </row>
    <row r="315" spans="1:15" s="62" customFormat="1" ht="12.75">
      <c r="A315" s="1"/>
      <c r="B315" s="1" t="s">
        <v>369</v>
      </c>
      <c r="C315" s="1"/>
      <c r="D315" s="16" t="s">
        <v>1035</v>
      </c>
      <c r="E315" s="74">
        <f t="shared" si="69"/>
        <v>400</v>
      </c>
      <c r="F315" s="451"/>
      <c r="G315" s="141"/>
      <c r="H315" s="461">
        <v>400</v>
      </c>
      <c r="I315" s="89"/>
      <c r="J315" s="93"/>
      <c r="K315" s="471"/>
      <c r="L315" s="481"/>
      <c r="M315" s="491"/>
      <c r="N315" s="70"/>
      <c r="O315" s="3"/>
    </row>
    <row r="316" spans="1:15" s="62" customFormat="1" ht="12.75">
      <c r="A316" s="1"/>
      <c r="B316" s="1" t="s">
        <v>370</v>
      </c>
      <c r="C316" s="1"/>
      <c r="D316" s="16" t="s">
        <v>1036</v>
      </c>
      <c r="E316" s="74">
        <f t="shared" si="69"/>
        <v>400</v>
      </c>
      <c r="F316" s="451"/>
      <c r="G316" s="141"/>
      <c r="H316" s="461">
        <v>400</v>
      </c>
      <c r="I316" s="89"/>
      <c r="J316" s="93"/>
      <c r="K316" s="471"/>
      <c r="L316" s="481"/>
      <c r="M316" s="491"/>
      <c r="N316" s="70"/>
      <c r="O316" s="3"/>
    </row>
    <row r="317" spans="1:15" s="62" customFormat="1" ht="26.25" customHeight="1">
      <c r="A317" s="1"/>
      <c r="B317" s="1"/>
      <c r="C317" s="1" t="s">
        <v>232</v>
      </c>
      <c r="D317" s="48" t="s">
        <v>403</v>
      </c>
      <c r="E317" s="74">
        <f>E318</f>
        <v>400</v>
      </c>
      <c r="F317" s="451">
        <f aca="true" t="shared" si="128" ref="F317:M318">F318</f>
        <v>0</v>
      </c>
      <c r="G317" s="141">
        <f t="shared" si="128"/>
        <v>0</v>
      </c>
      <c r="H317" s="461">
        <f t="shared" si="128"/>
        <v>400</v>
      </c>
      <c r="I317" s="89">
        <f t="shared" si="128"/>
        <v>0</v>
      </c>
      <c r="J317" s="93">
        <f t="shared" si="128"/>
        <v>0</v>
      </c>
      <c r="K317" s="471">
        <f t="shared" si="128"/>
        <v>0</v>
      </c>
      <c r="L317" s="481">
        <f t="shared" si="128"/>
        <v>0</v>
      </c>
      <c r="M317" s="491">
        <f t="shared" si="128"/>
        <v>0</v>
      </c>
      <c r="N317" s="70"/>
      <c r="O317" s="3"/>
    </row>
    <row r="318" spans="1:15" s="62" customFormat="1" ht="12.75">
      <c r="A318" s="1"/>
      <c r="B318" s="1"/>
      <c r="C318" s="1" t="s">
        <v>132</v>
      </c>
      <c r="D318" s="16" t="s">
        <v>251</v>
      </c>
      <c r="E318" s="74">
        <f>E319</f>
        <v>400</v>
      </c>
      <c r="F318" s="451">
        <f t="shared" si="128"/>
        <v>0</v>
      </c>
      <c r="G318" s="141">
        <f t="shared" si="128"/>
        <v>0</v>
      </c>
      <c r="H318" s="461">
        <f t="shared" si="128"/>
        <v>400</v>
      </c>
      <c r="I318" s="89">
        <f t="shared" si="128"/>
        <v>0</v>
      </c>
      <c r="J318" s="93">
        <f t="shared" si="128"/>
        <v>0</v>
      </c>
      <c r="K318" s="471">
        <f t="shared" si="128"/>
        <v>0</v>
      </c>
      <c r="L318" s="481">
        <f t="shared" si="128"/>
        <v>0</v>
      </c>
      <c r="M318" s="491">
        <f t="shared" si="128"/>
        <v>0</v>
      </c>
      <c r="N318" s="70"/>
      <c r="O318" s="3"/>
    </row>
    <row r="319" spans="1:15" s="62" customFormat="1" ht="12.75">
      <c r="A319" s="1"/>
      <c r="B319" s="1" t="s">
        <v>371</v>
      </c>
      <c r="C319" s="1"/>
      <c r="D319" s="16" t="s">
        <v>1037</v>
      </c>
      <c r="E319" s="74">
        <f t="shared" si="69"/>
        <v>400</v>
      </c>
      <c r="F319" s="451"/>
      <c r="G319" s="141"/>
      <c r="H319" s="461">
        <v>400</v>
      </c>
      <c r="I319" s="89"/>
      <c r="J319" s="93"/>
      <c r="K319" s="471"/>
      <c r="L319" s="481"/>
      <c r="M319" s="491"/>
      <c r="N319" s="70"/>
      <c r="O319" s="3"/>
    </row>
    <row r="320" spans="1:15" s="62" customFormat="1" ht="12.75">
      <c r="A320" s="1"/>
      <c r="B320" s="1"/>
      <c r="C320" s="1" t="s">
        <v>212</v>
      </c>
      <c r="D320" s="16" t="s">
        <v>45</v>
      </c>
      <c r="E320" s="74">
        <f>E321</f>
        <v>816.627</v>
      </c>
      <c r="F320" s="451">
        <f aca="true" t="shared" si="129" ref="F320:M321">F321</f>
        <v>0</v>
      </c>
      <c r="G320" s="141">
        <f t="shared" si="129"/>
        <v>0</v>
      </c>
      <c r="H320" s="461">
        <f t="shared" si="129"/>
        <v>816.627</v>
      </c>
      <c r="I320" s="89">
        <f t="shared" si="129"/>
        <v>0</v>
      </c>
      <c r="J320" s="93">
        <f t="shared" si="129"/>
        <v>0</v>
      </c>
      <c r="K320" s="471">
        <f t="shared" si="129"/>
        <v>0</v>
      </c>
      <c r="L320" s="481">
        <f t="shared" si="129"/>
        <v>0</v>
      </c>
      <c r="M320" s="491">
        <f t="shared" si="129"/>
        <v>0</v>
      </c>
      <c r="N320" s="70"/>
      <c r="O320" s="3"/>
    </row>
    <row r="321" spans="1:15" s="62" customFormat="1" ht="25.5">
      <c r="A321" s="1"/>
      <c r="B321" s="1"/>
      <c r="C321" s="1" t="s">
        <v>125</v>
      </c>
      <c r="D321" s="16" t="s">
        <v>290</v>
      </c>
      <c r="E321" s="74">
        <f>E322</f>
        <v>816.627</v>
      </c>
      <c r="F321" s="451">
        <f t="shared" si="129"/>
        <v>0</v>
      </c>
      <c r="G321" s="141">
        <f t="shared" si="129"/>
        <v>0</v>
      </c>
      <c r="H321" s="461">
        <f t="shared" si="129"/>
        <v>816.627</v>
      </c>
      <c r="I321" s="89">
        <f t="shared" si="129"/>
        <v>0</v>
      </c>
      <c r="J321" s="93">
        <f t="shared" si="129"/>
        <v>0</v>
      </c>
      <c r="K321" s="471">
        <f t="shared" si="129"/>
        <v>0</v>
      </c>
      <c r="L321" s="481">
        <f t="shared" si="129"/>
        <v>0</v>
      </c>
      <c r="M321" s="491">
        <f t="shared" si="129"/>
        <v>0</v>
      </c>
      <c r="N321" s="70"/>
      <c r="O321" s="3"/>
    </row>
    <row r="322" spans="1:15" s="62" customFormat="1" ht="12.75">
      <c r="A322" s="1"/>
      <c r="B322" s="1" t="s">
        <v>1042</v>
      </c>
      <c r="C322" s="1"/>
      <c r="D322" s="16" t="s">
        <v>1043</v>
      </c>
      <c r="E322" s="74">
        <f>F322+G322+H322+I322+J322+K322+L322+M322</f>
        <v>816.627</v>
      </c>
      <c r="F322" s="451"/>
      <c r="G322" s="141"/>
      <c r="H322" s="461">
        <v>816.627</v>
      </c>
      <c r="I322" s="89"/>
      <c r="J322" s="93"/>
      <c r="K322" s="471"/>
      <c r="L322" s="481"/>
      <c r="M322" s="491"/>
      <c r="N322" s="70"/>
      <c r="O322" s="3"/>
    </row>
    <row r="323" spans="1:15" s="62" customFormat="1" ht="12.75">
      <c r="A323" s="1"/>
      <c r="B323" s="1" t="s">
        <v>356</v>
      </c>
      <c r="C323" s="1"/>
      <c r="D323" s="16" t="s">
        <v>358</v>
      </c>
      <c r="E323" s="74">
        <f>E324</f>
        <v>809.1</v>
      </c>
      <c r="F323" s="451">
        <f aca="true" t="shared" si="130" ref="F323:M324">F324</f>
        <v>809.1</v>
      </c>
      <c r="G323" s="141">
        <f t="shared" si="130"/>
        <v>0</v>
      </c>
      <c r="H323" s="461">
        <f t="shared" si="130"/>
        <v>0</v>
      </c>
      <c r="I323" s="89">
        <f t="shared" si="130"/>
        <v>0</v>
      </c>
      <c r="J323" s="93">
        <f t="shared" si="130"/>
        <v>0</v>
      </c>
      <c r="K323" s="471">
        <f t="shared" si="130"/>
        <v>0</v>
      </c>
      <c r="L323" s="481">
        <f t="shared" si="130"/>
        <v>0</v>
      </c>
      <c r="M323" s="491">
        <f t="shared" si="130"/>
        <v>0</v>
      </c>
      <c r="N323" s="3"/>
      <c r="O323" s="3"/>
    </row>
    <row r="324" spans="1:15" s="62" customFormat="1" ht="12.75">
      <c r="A324" s="1"/>
      <c r="B324" s="1" t="s">
        <v>357</v>
      </c>
      <c r="C324" s="1"/>
      <c r="D324" s="16" t="s">
        <v>359</v>
      </c>
      <c r="E324" s="74">
        <f>E325</f>
        <v>809.1</v>
      </c>
      <c r="F324" s="451">
        <f t="shared" si="130"/>
        <v>809.1</v>
      </c>
      <c r="G324" s="141">
        <f t="shared" si="130"/>
        <v>0</v>
      </c>
      <c r="H324" s="461">
        <f t="shared" si="130"/>
        <v>0</v>
      </c>
      <c r="I324" s="89">
        <f t="shared" si="130"/>
        <v>0</v>
      </c>
      <c r="J324" s="93">
        <f t="shared" si="130"/>
        <v>0</v>
      </c>
      <c r="K324" s="471">
        <f t="shared" si="130"/>
        <v>0</v>
      </c>
      <c r="L324" s="481">
        <f t="shared" si="130"/>
        <v>0</v>
      </c>
      <c r="M324" s="491">
        <f t="shared" si="130"/>
        <v>0</v>
      </c>
      <c r="N324" s="3"/>
      <c r="O324" s="3"/>
    </row>
    <row r="325" spans="1:15" s="62" customFormat="1" ht="24.75" customHeight="1">
      <c r="A325" s="1"/>
      <c r="B325" s="1"/>
      <c r="C325" s="1" t="s">
        <v>232</v>
      </c>
      <c r="D325" s="48" t="s">
        <v>403</v>
      </c>
      <c r="E325" s="74">
        <f>E326+E327</f>
        <v>809.1</v>
      </c>
      <c r="F325" s="451">
        <f aca="true" t="shared" si="131" ref="F325:M325">F326+F327</f>
        <v>809.1</v>
      </c>
      <c r="G325" s="141">
        <f t="shared" si="131"/>
        <v>0</v>
      </c>
      <c r="H325" s="461">
        <f t="shared" si="131"/>
        <v>0</v>
      </c>
      <c r="I325" s="89">
        <f t="shared" si="131"/>
        <v>0</v>
      </c>
      <c r="J325" s="93">
        <f t="shared" si="131"/>
        <v>0</v>
      </c>
      <c r="K325" s="471">
        <f t="shared" si="131"/>
        <v>0</v>
      </c>
      <c r="L325" s="481">
        <f t="shared" si="131"/>
        <v>0</v>
      </c>
      <c r="M325" s="491">
        <f t="shared" si="131"/>
        <v>0</v>
      </c>
      <c r="N325" s="3"/>
      <c r="O325" s="3"/>
    </row>
    <row r="326" spans="1:15" s="62" customFormat="1" ht="12.75">
      <c r="A326" s="1"/>
      <c r="B326" s="1"/>
      <c r="C326" s="1" t="s">
        <v>132</v>
      </c>
      <c r="D326" s="16" t="s">
        <v>251</v>
      </c>
      <c r="E326" s="74">
        <f>F326+G326+H326+I326+J326+K326+L326+M326</f>
        <v>509.1</v>
      </c>
      <c r="F326" s="452">
        <v>509.1</v>
      </c>
      <c r="G326" s="142"/>
      <c r="H326" s="462"/>
      <c r="I326" s="90"/>
      <c r="J326" s="94"/>
      <c r="K326" s="474"/>
      <c r="L326" s="482"/>
      <c r="M326" s="494"/>
      <c r="N326" s="3"/>
      <c r="O326" s="3"/>
    </row>
    <row r="327" spans="1:15" s="62" customFormat="1" ht="12.75">
      <c r="A327" s="1"/>
      <c r="B327" s="1"/>
      <c r="C327" s="1" t="s">
        <v>131</v>
      </c>
      <c r="D327" s="16" t="s">
        <v>252</v>
      </c>
      <c r="E327" s="74">
        <f>F327+G327+H327+I327+J327+K327+L327+M327</f>
        <v>300</v>
      </c>
      <c r="F327" s="452">
        <v>300</v>
      </c>
      <c r="G327" s="142"/>
      <c r="H327" s="462"/>
      <c r="I327" s="90"/>
      <c r="J327" s="94"/>
      <c r="K327" s="474"/>
      <c r="L327" s="482"/>
      <c r="M327" s="494"/>
      <c r="N327" s="3"/>
      <c r="O327" s="3"/>
    </row>
    <row r="328" spans="1:15" s="62" customFormat="1" ht="12.75">
      <c r="A328" s="1"/>
      <c r="B328" s="1" t="s">
        <v>382</v>
      </c>
      <c r="C328" s="1"/>
      <c r="D328" s="16" t="s">
        <v>384</v>
      </c>
      <c r="E328" s="74">
        <f>E329</f>
        <v>3383.8</v>
      </c>
      <c r="F328" s="451">
        <f aca="true" t="shared" si="132" ref="F328:M330">F329</f>
        <v>3383.8</v>
      </c>
      <c r="G328" s="141">
        <f t="shared" si="132"/>
        <v>0</v>
      </c>
      <c r="H328" s="461">
        <f t="shared" si="132"/>
        <v>0</v>
      </c>
      <c r="I328" s="89">
        <f t="shared" si="132"/>
        <v>0</v>
      </c>
      <c r="J328" s="93">
        <f t="shared" si="132"/>
        <v>0</v>
      </c>
      <c r="K328" s="471">
        <f t="shared" si="132"/>
        <v>0</v>
      </c>
      <c r="L328" s="481">
        <f t="shared" si="132"/>
        <v>0</v>
      </c>
      <c r="M328" s="491">
        <f t="shared" si="132"/>
        <v>0</v>
      </c>
      <c r="N328" s="3"/>
      <c r="O328" s="3"/>
    </row>
    <row r="329" spans="1:15" s="62" customFormat="1" ht="38.25">
      <c r="A329" s="1"/>
      <c r="B329" s="1" t="s">
        <v>383</v>
      </c>
      <c r="C329" s="1"/>
      <c r="D329" s="16" t="s">
        <v>385</v>
      </c>
      <c r="E329" s="74">
        <f>E330</f>
        <v>3383.8</v>
      </c>
      <c r="F329" s="451">
        <f t="shared" si="132"/>
        <v>3383.8</v>
      </c>
      <c r="G329" s="141">
        <f t="shared" si="132"/>
        <v>0</v>
      </c>
      <c r="H329" s="461">
        <f t="shared" si="132"/>
        <v>0</v>
      </c>
      <c r="I329" s="89">
        <f t="shared" si="132"/>
        <v>0</v>
      </c>
      <c r="J329" s="93">
        <f t="shared" si="132"/>
        <v>0</v>
      </c>
      <c r="K329" s="471">
        <f t="shared" si="132"/>
        <v>0</v>
      </c>
      <c r="L329" s="481">
        <f t="shared" si="132"/>
        <v>0</v>
      </c>
      <c r="M329" s="491">
        <f t="shared" si="132"/>
        <v>0</v>
      </c>
      <c r="N329" s="3"/>
      <c r="O329" s="3"/>
    </row>
    <row r="330" spans="1:15" s="62" customFormat="1" ht="25.5" customHeight="1">
      <c r="A330" s="1"/>
      <c r="B330" s="1"/>
      <c r="C330" s="1" t="s">
        <v>232</v>
      </c>
      <c r="D330" s="48" t="s">
        <v>403</v>
      </c>
      <c r="E330" s="74">
        <f>E331</f>
        <v>3383.8</v>
      </c>
      <c r="F330" s="451">
        <f t="shared" si="132"/>
        <v>3383.8</v>
      </c>
      <c r="G330" s="141">
        <f t="shared" si="132"/>
        <v>0</v>
      </c>
      <c r="H330" s="461">
        <f t="shared" si="132"/>
        <v>0</v>
      </c>
      <c r="I330" s="89">
        <f t="shared" si="132"/>
        <v>0</v>
      </c>
      <c r="J330" s="93">
        <f t="shared" si="132"/>
        <v>0</v>
      </c>
      <c r="K330" s="471">
        <f t="shared" si="132"/>
        <v>0</v>
      </c>
      <c r="L330" s="481">
        <f t="shared" si="132"/>
        <v>0</v>
      </c>
      <c r="M330" s="491">
        <f t="shared" si="132"/>
        <v>0</v>
      </c>
      <c r="N330" s="3"/>
      <c r="O330" s="3"/>
    </row>
    <row r="331" spans="1:15" s="62" customFormat="1" ht="12.75">
      <c r="A331" s="1"/>
      <c r="B331" s="1"/>
      <c r="C331" s="1" t="s">
        <v>131</v>
      </c>
      <c r="D331" s="16" t="s">
        <v>252</v>
      </c>
      <c r="E331" s="74">
        <f>F331+G331+H331+I331+J331+K331+L331+M331</f>
        <v>3383.8</v>
      </c>
      <c r="F331" s="452">
        <v>3383.8</v>
      </c>
      <c r="G331" s="142"/>
      <c r="H331" s="462"/>
      <c r="I331" s="90"/>
      <c r="J331" s="94"/>
      <c r="K331" s="474"/>
      <c r="L331" s="482"/>
      <c r="M331" s="494"/>
      <c r="N331" s="3"/>
      <c r="O331" s="3"/>
    </row>
    <row r="332" spans="1:15" s="62" customFormat="1" ht="12.75">
      <c r="A332" s="1"/>
      <c r="B332" s="1" t="s">
        <v>76</v>
      </c>
      <c r="C332" s="1"/>
      <c r="D332" s="16" t="s">
        <v>77</v>
      </c>
      <c r="E332" s="74">
        <f t="shared" si="69"/>
        <v>-3935.3</v>
      </c>
      <c r="F332" s="452">
        <f>F333</f>
        <v>0</v>
      </c>
      <c r="G332" s="142">
        <f aca="true" t="shared" si="133" ref="G332:M333">G333</f>
        <v>0</v>
      </c>
      <c r="H332" s="462">
        <f t="shared" si="133"/>
        <v>0</v>
      </c>
      <c r="I332" s="90">
        <f t="shared" si="133"/>
        <v>-3935.3</v>
      </c>
      <c r="J332" s="94">
        <f t="shared" si="133"/>
        <v>0</v>
      </c>
      <c r="K332" s="474">
        <f t="shared" si="133"/>
        <v>0</v>
      </c>
      <c r="L332" s="482">
        <f t="shared" si="133"/>
        <v>0</v>
      </c>
      <c r="M332" s="494">
        <f t="shared" si="133"/>
        <v>0</v>
      </c>
      <c r="N332" s="3"/>
      <c r="O332" s="3"/>
    </row>
    <row r="333" spans="1:15" s="62" customFormat="1" ht="12.75">
      <c r="A333" s="1"/>
      <c r="B333" s="1" t="s">
        <v>253</v>
      </c>
      <c r="C333" s="1"/>
      <c r="D333" s="16" t="s">
        <v>254</v>
      </c>
      <c r="E333" s="74">
        <f t="shared" si="69"/>
        <v>-3935.3</v>
      </c>
      <c r="F333" s="452">
        <f>F334</f>
        <v>0</v>
      </c>
      <c r="G333" s="142">
        <f t="shared" si="133"/>
        <v>0</v>
      </c>
      <c r="H333" s="462">
        <f t="shared" si="133"/>
        <v>0</v>
      </c>
      <c r="I333" s="90">
        <f t="shared" si="133"/>
        <v>-3935.3</v>
      </c>
      <c r="J333" s="94">
        <f t="shared" si="133"/>
        <v>0</v>
      </c>
      <c r="K333" s="474">
        <f t="shared" si="133"/>
        <v>0</v>
      </c>
      <c r="L333" s="482">
        <f t="shared" si="133"/>
        <v>0</v>
      </c>
      <c r="M333" s="494">
        <f t="shared" si="133"/>
        <v>0</v>
      </c>
      <c r="N333" s="3"/>
      <c r="O333" s="3"/>
    </row>
    <row r="334" spans="1:15" s="62" customFormat="1" ht="25.5" customHeight="1">
      <c r="A334" s="1"/>
      <c r="B334" s="1"/>
      <c r="C334" s="1" t="s">
        <v>232</v>
      </c>
      <c r="D334" s="16" t="s">
        <v>403</v>
      </c>
      <c r="E334" s="74">
        <f t="shared" si="69"/>
        <v>-3935.3</v>
      </c>
      <c r="F334" s="452">
        <f>F335+F336</f>
        <v>0</v>
      </c>
      <c r="G334" s="142">
        <f aca="true" t="shared" si="134" ref="G334:M334">G335+G336</f>
        <v>0</v>
      </c>
      <c r="H334" s="462">
        <f t="shared" si="134"/>
        <v>0</v>
      </c>
      <c r="I334" s="90">
        <f t="shared" si="134"/>
        <v>-3935.3</v>
      </c>
      <c r="J334" s="94">
        <f t="shared" si="134"/>
        <v>0</v>
      </c>
      <c r="K334" s="474">
        <f t="shared" si="134"/>
        <v>0</v>
      </c>
      <c r="L334" s="482">
        <f t="shared" si="134"/>
        <v>0</v>
      </c>
      <c r="M334" s="494">
        <f t="shared" si="134"/>
        <v>0</v>
      </c>
      <c r="N334" s="3"/>
      <c r="O334" s="3"/>
    </row>
    <row r="335" spans="1:15" s="62" customFormat="1" ht="12.75">
      <c r="A335" s="1"/>
      <c r="B335" s="1"/>
      <c r="C335" s="1" t="s">
        <v>132</v>
      </c>
      <c r="D335" s="16" t="s">
        <v>251</v>
      </c>
      <c r="E335" s="74">
        <f t="shared" si="69"/>
        <v>-953.094</v>
      </c>
      <c r="F335" s="452"/>
      <c r="G335" s="142"/>
      <c r="H335" s="462"/>
      <c r="I335" s="90">
        <v>-953.094</v>
      </c>
      <c r="J335" s="94"/>
      <c r="K335" s="474"/>
      <c r="L335" s="482"/>
      <c r="M335" s="494"/>
      <c r="N335" s="3"/>
      <c r="O335" s="3"/>
    </row>
    <row r="336" spans="1:15" s="62" customFormat="1" ht="12.75">
      <c r="A336" s="1"/>
      <c r="B336" s="1"/>
      <c r="C336" s="1" t="s">
        <v>131</v>
      </c>
      <c r="D336" s="16" t="s">
        <v>252</v>
      </c>
      <c r="E336" s="74">
        <f t="shared" si="69"/>
        <v>-2982.206</v>
      </c>
      <c r="F336" s="452"/>
      <c r="G336" s="142"/>
      <c r="H336" s="462"/>
      <c r="I336" s="90">
        <v>-2982.206</v>
      </c>
      <c r="J336" s="94"/>
      <c r="K336" s="474"/>
      <c r="L336" s="482"/>
      <c r="M336" s="494"/>
      <c r="N336" s="3"/>
      <c r="O336" s="3"/>
    </row>
    <row r="337" spans="1:15" s="62" customFormat="1" ht="12.75">
      <c r="A337" s="81"/>
      <c r="B337" s="1" t="s">
        <v>37</v>
      </c>
      <c r="C337" s="1"/>
      <c r="D337" s="16" t="s">
        <v>38</v>
      </c>
      <c r="E337" s="74">
        <f t="shared" si="69"/>
        <v>16158.275</v>
      </c>
      <c r="F337" s="452">
        <f>F338+F345</f>
        <v>0</v>
      </c>
      <c r="G337" s="142">
        <f aca="true" t="shared" si="135" ref="G337:M337">G338+G345</f>
        <v>0</v>
      </c>
      <c r="H337" s="462">
        <f t="shared" si="135"/>
        <v>0</v>
      </c>
      <c r="I337" s="90">
        <f t="shared" si="135"/>
        <v>11110.5</v>
      </c>
      <c r="J337" s="94">
        <f t="shared" si="135"/>
        <v>0</v>
      </c>
      <c r="K337" s="474">
        <f t="shared" si="135"/>
        <v>3820.462</v>
      </c>
      <c r="L337" s="482">
        <f>L338+L345</f>
        <v>1227.313</v>
      </c>
      <c r="M337" s="494">
        <f t="shared" si="135"/>
        <v>0</v>
      </c>
      <c r="N337" s="70"/>
      <c r="O337" s="3"/>
    </row>
    <row r="338" spans="1:15" s="62" customFormat="1" ht="25.5">
      <c r="A338" s="81"/>
      <c r="B338" s="1" t="s">
        <v>209</v>
      </c>
      <c r="C338" s="1"/>
      <c r="D338" s="49" t="s">
        <v>3</v>
      </c>
      <c r="E338" s="74">
        <f t="shared" si="69"/>
        <v>5047.775</v>
      </c>
      <c r="F338" s="452">
        <f>F339</f>
        <v>0</v>
      </c>
      <c r="G338" s="142">
        <f aca="true" t="shared" si="136" ref="G338:M340">G339</f>
        <v>0</v>
      </c>
      <c r="H338" s="462">
        <f t="shared" si="136"/>
        <v>0</v>
      </c>
      <c r="I338" s="90">
        <f t="shared" si="136"/>
        <v>0</v>
      </c>
      <c r="J338" s="94">
        <f t="shared" si="136"/>
        <v>0</v>
      </c>
      <c r="K338" s="474">
        <f t="shared" si="136"/>
        <v>3820.462</v>
      </c>
      <c r="L338" s="482">
        <f t="shared" si="136"/>
        <v>1227.313</v>
      </c>
      <c r="M338" s="494">
        <f t="shared" si="136"/>
        <v>0</v>
      </c>
      <c r="N338" s="70"/>
      <c r="O338" s="3"/>
    </row>
    <row r="339" spans="1:15" s="62" customFormat="1" ht="12.75">
      <c r="A339" s="81"/>
      <c r="B339" s="59" t="s">
        <v>177</v>
      </c>
      <c r="C339" s="1"/>
      <c r="D339" s="16" t="s">
        <v>166</v>
      </c>
      <c r="E339" s="74">
        <f t="shared" si="69"/>
        <v>5047.775</v>
      </c>
      <c r="F339" s="452">
        <f>F340+F342</f>
        <v>0</v>
      </c>
      <c r="G339" s="142">
        <f aca="true" t="shared" si="137" ref="G339:M339">G340+G342</f>
        <v>0</v>
      </c>
      <c r="H339" s="462">
        <f t="shared" si="137"/>
        <v>0</v>
      </c>
      <c r="I339" s="90">
        <f t="shared" si="137"/>
        <v>0</v>
      </c>
      <c r="J339" s="94">
        <f t="shared" si="137"/>
        <v>0</v>
      </c>
      <c r="K339" s="474">
        <f t="shared" si="137"/>
        <v>3820.462</v>
      </c>
      <c r="L339" s="482">
        <f t="shared" si="137"/>
        <v>1227.313</v>
      </c>
      <c r="M339" s="494">
        <f t="shared" si="137"/>
        <v>0</v>
      </c>
      <c r="N339" s="70"/>
      <c r="O339" s="3"/>
    </row>
    <row r="340" spans="1:15" s="62" customFormat="1" ht="12.75">
      <c r="A340" s="81"/>
      <c r="B340" s="59"/>
      <c r="C340" s="1" t="s">
        <v>210</v>
      </c>
      <c r="D340" s="16" t="s">
        <v>211</v>
      </c>
      <c r="E340" s="74">
        <f t="shared" si="69"/>
        <v>4777.945</v>
      </c>
      <c r="F340" s="452">
        <f>F341</f>
        <v>0</v>
      </c>
      <c r="G340" s="142">
        <f t="shared" si="136"/>
        <v>0</v>
      </c>
      <c r="H340" s="462">
        <f t="shared" si="136"/>
        <v>0</v>
      </c>
      <c r="I340" s="90">
        <f t="shared" si="136"/>
        <v>0</v>
      </c>
      <c r="J340" s="94">
        <f t="shared" si="136"/>
        <v>0</v>
      </c>
      <c r="K340" s="474">
        <f t="shared" si="136"/>
        <v>3820.462</v>
      </c>
      <c r="L340" s="482">
        <f t="shared" si="136"/>
        <v>957.483</v>
      </c>
      <c r="M340" s="494">
        <f t="shared" si="136"/>
        <v>0</v>
      </c>
      <c r="N340" s="70"/>
      <c r="O340" s="3"/>
    </row>
    <row r="341" spans="1:15" s="62" customFormat="1" ht="12.75">
      <c r="A341" s="81"/>
      <c r="B341" s="59"/>
      <c r="C341" s="1" t="s">
        <v>8</v>
      </c>
      <c r="D341" s="16" t="s">
        <v>216</v>
      </c>
      <c r="E341" s="74">
        <f t="shared" si="69"/>
        <v>4777.945</v>
      </c>
      <c r="F341" s="452"/>
      <c r="G341" s="142"/>
      <c r="H341" s="462"/>
      <c r="I341" s="90"/>
      <c r="J341" s="94"/>
      <c r="K341" s="474">
        <v>3820.462</v>
      </c>
      <c r="L341" s="482">
        <v>957.483</v>
      </c>
      <c r="M341" s="494"/>
      <c r="N341" s="70"/>
      <c r="O341" s="3"/>
    </row>
    <row r="342" spans="1:15" s="62" customFormat="1" ht="25.5" customHeight="1">
      <c r="A342" s="81"/>
      <c r="B342" s="1"/>
      <c r="C342" s="1" t="s">
        <v>232</v>
      </c>
      <c r="D342" s="48" t="s">
        <v>403</v>
      </c>
      <c r="E342" s="74">
        <f t="shared" si="69"/>
        <v>269.83000000000004</v>
      </c>
      <c r="F342" s="452">
        <f>F343+F344</f>
        <v>0</v>
      </c>
      <c r="G342" s="142">
        <f aca="true" t="shared" si="138" ref="G342:M342">G343+G344</f>
        <v>0</v>
      </c>
      <c r="H342" s="462">
        <f t="shared" si="138"/>
        <v>0</v>
      </c>
      <c r="I342" s="90">
        <f t="shared" si="138"/>
        <v>0</v>
      </c>
      <c r="J342" s="94">
        <f t="shared" si="138"/>
        <v>0</v>
      </c>
      <c r="K342" s="474">
        <f t="shared" si="138"/>
        <v>0</v>
      </c>
      <c r="L342" s="482">
        <f t="shared" si="138"/>
        <v>269.83000000000004</v>
      </c>
      <c r="M342" s="494">
        <f t="shared" si="138"/>
        <v>0</v>
      </c>
      <c r="N342" s="3"/>
      <c r="O342" s="3"/>
    </row>
    <row r="343" spans="1:15" s="62" customFormat="1" ht="12.75">
      <c r="A343" s="81"/>
      <c r="B343" s="1"/>
      <c r="C343" s="1" t="s">
        <v>132</v>
      </c>
      <c r="D343" s="16" t="s">
        <v>251</v>
      </c>
      <c r="E343" s="74">
        <f t="shared" si="69"/>
        <v>191.4</v>
      </c>
      <c r="F343" s="452"/>
      <c r="G343" s="142"/>
      <c r="H343" s="462"/>
      <c r="I343" s="90"/>
      <c r="J343" s="94"/>
      <c r="K343" s="474"/>
      <c r="L343" s="482">
        <v>191.4</v>
      </c>
      <c r="M343" s="494"/>
      <c r="N343" s="3"/>
      <c r="O343" s="3"/>
    </row>
    <row r="344" spans="1:15" s="62" customFormat="1" ht="12.75">
      <c r="A344" s="81"/>
      <c r="B344" s="59"/>
      <c r="C344" s="1" t="s">
        <v>131</v>
      </c>
      <c r="D344" s="16" t="s">
        <v>252</v>
      </c>
      <c r="E344" s="74">
        <f t="shared" si="69"/>
        <v>78.43</v>
      </c>
      <c r="F344" s="452"/>
      <c r="G344" s="142"/>
      <c r="H344" s="462"/>
      <c r="I344" s="90"/>
      <c r="J344" s="94"/>
      <c r="K344" s="474"/>
      <c r="L344" s="482">
        <v>78.43</v>
      </c>
      <c r="M344" s="494"/>
      <c r="N344" s="3"/>
      <c r="O344" s="3"/>
    </row>
    <row r="345" spans="1:15" s="62" customFormat="1" ht="25.5">
      <c r="A345" s="81"/>
      <c r="B345" s="59" t="s">
        <v>78</v>
      </c>
      <c r="C345" s="1"/>
      <c r="D345" s="16" t="s">
        <v>79</v>
      </c>
      <c r="E345" s="74">
        <f t="shared" si="69"/>
        <v>11110.5</v>
      </c>
      <c r="F345" s="452">
        <f>F346</f>
        <v>0</v>
      </c>
      <c r="G345" s="142">
        <f aca="true" t="shared" si="139" ref="G345:M347">G346</f>
        <v>0</v>
      </c>
      <c r="H345" s="462">
        <f t="shared" si="139"/>
        <v>0</v>
      </c>
      <c r="I345" s="90">
        <f t="shared" si="139"/>
        <v>11110.5</v>
      </c>
      <c r="J345" s="94">
        <f t="shared" si="139"/>
        <v>0</v>
      </c>
      <c r="K345" s="474">
        <f t="shared" si="139"/>
        <v>0</v>
      </c>
      <c r="L345" s="482">
        <f t="shared" si="139"/>
        <v>0</v>
      </c>
      <c r="M345" s="494">
        <f t="shared" si="139"/>
        <v>0</v>
      </c>
      <c r="N345" s="3"/>
      <c r="O345" s="3"/>
    </row>
    <row r="346" spans="1:15" s="62" customFormat="1" ht="42.75" customHeight="1">
      <c r="A346" s="81"/>
      <c r="B346" s="1" t="s">
        <v>112</v>
      </c>
      <c r="C346" s="1"/>
      <c r="D346" s="16" t="s">
        <v>113</v>
      </c>
      <c r="E346" s="74">
        <f t="shared" si="69"/>
        <v>11110.5</v>
      </c>
      <c r="F346" s="452">
        <f>F347</f>
        <v>0</v>
      </c>
      <c r="G346" s="142">
        <f t="shared" si="139"/>
        <v>0</v>
      </c>
      <c r="H346" s="462">
        <f t="shared" si="139"/>
        <v>0</v>
      </c>
      <c r="I346" s="90">
        <f t="shared" si="139"/>
        <v>11110.5</v>
      </c>
      <c r="J346" s="94">
        <f t="shared" si="139"/>
        <v>0</v>
      </c>
      <c r="K346" s="474">
        <f t="shared" si="139"/>
        <v>0</v>
      </c>
      <c r="L346" s="482">
        <f t="shared" si="139"/>
        <v>0</v>
      </c>
      <c r="M346" s="494">
        <f t="shared" si="139"/>
        <v>0</v>
      </c>
      <c r="N346" s="3"/>
      <c r="O346" s="3"/>
    </row>
    <row r="347" spans="1:15" s="62" customFormat="1" ht="25.5" customHeight="1">
      <c r="A347" s="81"/>
      <c r="B347" s="1"/>
      <c r="C347" s="1" t="s">
        <v>232</v>
      </c>
      <c r="D347" s="48" t="s">
        <v>403</v>
      </c>
      <c r="E347" s="74">
        <f t="shared" si="69"/>
        <v>11110.5</v>
      </c>
      <c r="F347" s="452">
        <f>F348</f>
        <v>0</v>
      </c>
      <c r="G347" s="142">
        <f t="shared" si="139"/>
        <v>0</v>
      </c>
      <c r="H347" s="462">
        <f t="shared" si="139"/>
        <v>0</v>
      </c>
      <c r="I347" s="90">
        <f t="shared" si="139"/>
        <v>11110.5</v>
      </c>
      <c r="J347" s="94">
        <f t="shared" si="139"/>
        <v>0</v>
      </c>
      <c r="K347" s="474">
        <f t="shared" si="139"/>
        <v>0</v>
      </c>
      <c r="L347" s="482">
        <f t="shared" si="139"/>
        <v>0</v>
      </c>
      <c r="M347" s="494">
        <f t="shared" si="139"/>
        <v>0</v>
      </c>
      <c r="N347" s="3"/>
      <c r="O347" s="3"/>
    </row>
    <row r="348" spans="1:15" s="62" customFormat="1" ht="12.75">
      <c r="A348" s="81"/>
      <c r="B348" s="1"/>
      <c r="C348" s="1" t="s">
        <v>132</v>
      </c>
      <c r="D348" s="16" t="s">
        <v>251</v>
      </c>
      <c r="E348" s="74">
        <f t="shared" si="69"/>
        <v>11110.5</v>
      </c>
      <c r="F348" s="452"/>
      <c r="G348" s="142"/>
      <c r="H348" s="462"/>
      <c r="I348" s="90">
        <v>11110.5</v>
      </c>
      <c r="J348" s="94"/>
      <c r="K348" s="474"/>
      <c r="L348" s="482"/>
      <c r="M348" s="494"/>
      <c r="N348" s="3"/>
      <c r="O348" s="3"/>
    </row>
    <row r="349" spans="1:15" s="62" customFormat="1" ht="12.75">
      <c r="A349" s="81"/>
      <c r="B349" s="59" t="s">
        <v>311</v>
      </c>
      <c r="C349" s="1"/>
      <c r="D349" s="16" t="s">
        <v>106</v>
      </c>
      <c r="E349" s="74">
        <f>E350+E353</f>
        <v>8910.7</v>
      </c>
      <c r="F349" s="451">
        <f aca="true" t="shared" si="140" ref="F349:M349">F350+F353</f>
        <v>0</v>
      </c>
      <c r="G349" s="141">
        <f t="shared" si="140"/>
        <v>0</v>
      </c>
      <c r="H349" s="461">
        <f t="shared" si="140"/>
        <v>0</v>
      </c>
      <c r="I349" s="89">
        <f t="shared" si="140"/>
        <v>8910.7</v>
      </c>
      <c r="J349" s="93">
        <f t="shared" si="140"/>
        <v>0</v>
      </c>
      <c r="K349" s="471">
        <f t="shared" si="140"/>
        <v>0</v>
      </c>
      <c r="L349" s="481">
        <f t="shared" si="140"/>
        <v>0</v>
      </c>
      <c r="M349" s="491">
        <f t="shared" si="140"/>
        <v>0</v>
      </c>
      <c r="N349" s="3"/>
      <c r="O349" s="3"/>
    </row>
    <row r="350" spans="1:15" s="62" customFormat="1" ht="12.75">
      <c r="A350" s="81"/>
      <c r="B350" s="1" t="s">
        <v>743</v>
      </c>
      <c r="C350" s="1"/>
      <c r="D350" s="16" t="s">
        <v>744</v>
      </c>
      <c r="E350" s="74">
        <f>E351</f>
        <v>160</v>
      </c>
      <c r="F350" s="451">
        <f aca="true" t="shared" si="141" ref="F350:M351">F351</f>
        <v>0</v>
      </c>
      <c r="G350" s="141">
        <f t="shared" si="141"/>
        <v>0</v>
      </c>
      <c r="H350" s="461">
        <f t="shared" si="141"/>
        <v>0</v>
      </c>
      <c r="I350" s="89">
        <f t="shared" si="141"/>
        <v>160</v>
      </c>
      <c r="J350" s="93">
        <f t="shared" si="141"/>
        <v>0</v>
      </c>
      <c r="K350" s="471">
        <f t="shared" si="141"/>
        <v>0</v>
      </c>
      <c r="L350" s="481">
        <f t="shared" si="141"/>
        <v>0</v>
      </c>
      <c r="M350" s="491">
        <f t="shared" si="141"/>
        <v>0</v>
      </c>
      <c r="N350" s="3"/>
      <c r="O350" s="3"/>
    </row>
    <row r="351" spans="1:15" s="62" customFormat="1" ht="27.75" customHeight="1">
      <c r="A351" s="81"/>
      <c r="B351" s="1"/>
      <c r="C351" s="1" t="s">
        <v>232</v>
      </c>
      <c r="D351" s="48" t="s">
        <v>403</v>
      </c>
      <c r="E351" s="74">
        <f>E352</f>
        <v>160</v>
      </c>
      <c r="F351" s="451">
        <f t="shared" si="141"/>
        <v>0</v>
      </c>
      <c r="G351" s="141">
        <f t="shared" si="141"/>
        <v>0</v>
      </c>
      <c r="H351" s="461">
        <f t="shared" si="141"/>
        <v>0</v>
      </c>
      <c r="I351" s="89">
        <f t="shared" si="141"/>
        <v>160</v>
      </c>
      <c r="J351" s="93">
        <f t="shared" si="141"/>
        <v>0</v>
      </c>
      <c r="K351" s="471">
        <f t="shared" si="141"/>
        <v>0</v>
      </c>
      <c r="L351" s="481">
        <f t="shared" si="141"/>
        <v>0</v>
      </c>
      <c r="M351" s="491">
        <f t="shared" si="141"/>
        <v>0</v>
      </c>
      <c r="N351" s="3"/>
      <c r="O351" s="3"/>
    </row>
    <row r="352" spans="1:15" s="62" customFormat="1" ht="12.75">
      <c r="A352" s="81"/>
      <c r="B352" s="1"/>
      <c r="C352" s="1" t="s">
        <v>132</v>
      </c>
      <c r="D352" s="16" t="s">
        <v>251</v>
      </c>
      <c r="E352" s="74">
        <f t="shared" si="69"/>
        <v>160</v>
      </c>
      <c r="F352" s="452"/>
      <c r="G352" s="142"/>
      <c r="H352" s="462"/>
      <c r="I352" s="90">
        <v>160</v>
      </c>
      <c r="J352" s="94"/>
      <c r="K352" s="474"/>
      <c r="L352" s="482"/>
      <c r="M352" s="494"/>
      <c r="N352" s="3"/>
      <c r="O352" s="3"/>
    </row>
    <row r="353" spans="1:15" s="62" customFormat="1" ht="25.5">
      <c r="A353" s="81"/>
      <c r="B353" s="59" t="s">
        <v>313</v>
      </c>
      <c r="C353" s="1"/>
      <c r="D353" s="16" t="s">
        <v>314</v>
      </c>
      <c r="E353" s="74">
        <f t="shared" si="69"/>
        <v>8750.7</v>
      </c>
      <c r="F353" s="452">
        <f>F354</f>
        <v>0</v>
      </c>
      <c r="G353" s="142">
        <f aca="true" t="shared" si="142" ref="G353:M355">G354</f>
        <v>0</v>
      </c>
      <c r="H353" s="462">
        <f t="shared" si="142"/>
        <v>0</v>
      </c>
      <c r="I353" s="90">
        <f t="shared" si="142"/>
        <v>8750.7</v>
      </c>
      <c r="J353" s="94">
        <f t="shared" si="142"/>
        <v>0</v>
      </c>
      <c r="K353" s="474">
        <f t="shared" si="142"/>
        <v>0</v>
      </c>
      <c r="L353" s="482">
        <f t="shared" si="142"/>
        <v>0</v>
      </c>
      <c r="M353" s="494">
        <f t="shared" si="142"/>
        <v>0</v>
      </c>
      <c r="N353" s="3"/>
      <c r="O353" s="3"/>
    </row>
    <row r="354" spans="1:15" s="62" customFormat="1" ht="12.75">
      <c r="A354" s="81"/>
      <c r="B354" s="59" t="s">
        <v>312</v>
      </c>
      <c r="C354" s="1"/>
      <c r="D354" s="16" t="s">
        <v>189</v>
      </c>
      <c r="E354" s="74">
        <f t="shared" si="69"/>
        <v>8750.7</v>
      </c>
      <c r="F354" s="452">
        <f>F355</f>
        <v>0</v>
      </c>
      <c r="G354" s="142">
        <f t="shared" si="142"/>
        <v>0</v>
      </c>
      <c r="H354" s="462">
        <f t="shared" si="142"/>
        <v>0</v>
      </c>
      <c r="I354" s="90">
        <f t="shared" si="142"/>
        <v>8750.7</v>
      </c>
      <c r="J354" s="94">
        <f t="shared" si="142"/>
        <v>0</v>
      </c>
      <c r="K354" s="474">
        <f t="shared" si="142"/>
        <v>0</v>
      </c>
      <c r="L354" s="482">
        <f t="shared" si="142"/>
        <v>0</v>
      </c>
      <c r="M354" s="494">
        <f t="shared" si="142"/>
        <v>0</v>
      </c>
      <c r="N354" s="3"/>
      <c r="O354" s="3"/>
    </row>
    <row r="355" spans="1:15" s="62" customFormat="1" ht="27" customHeight="1">
      <c r="A355" s="81"/>
      <c r="B355" s="59"/>
      <c r="C355" s="1" t="s">
        <v>232</v>
      </c>
      <c r="D355" s="48" t="s">
        <v>403</v>
      </c>
      <c r="E355" s="74">
        <f t="shared" si="69"/>
        <v>8750.7</v>
      </c>
      <c r="F355" s="452">
        <f>F356</f>
        <v>0</v>
      </c>
      <c r="G355" s="142">
        <f t="shared" si="142"/>
        <v>0</v>
      </c>
      <c r="H355" s="462">
        <f t="shared" si="142"/>
        <v>0</v>
      </c>
      <c r="I355" s="90">
        <f t="shared" si="142"/>
        <v>8750.7</v>
      </c>
      <c r="J355" s="94">
        <f t="shared" si="142"/>
        <v>0</v>
      </c>
      <c r="K355" s="474">
        <f t="shared" si="142"/>
        <v>0</v>
      </c>
      <c r="L355" s="482">
        <f t="shared" si="142"/>
        <v>0</v>
      </c>
      <c r="M355" s="494">
        <f t="shared" si="142"/>
        <v>0</v>
      </c>
      <c r="N355" s="3"/>
      <c r="O355" s="3"/>
    </row>
    <row r="356" spans="1:15" s="62" customFormat="1" ht="12.75">
      <c r="A356" s="81"/>
      <c r="B356" s="59"/>
      <c r="C356" s="1" t="s">
        <v>131</v>
      </c>
      <c r="D356" s="16" t="s">
        <v>252</v>
      </c>
      <c r="E356" s="74">
        <f t="shared" si="69"/>
        <v>8750.7</v>
      </c>
      <c r="F356" s="452"/>
      <c r="G356" s="142"/>
      <c r="H356" s="462"/>
      <c r="I356" s="90">
        <v>8750.7</v>
      </c>
      <c r="J356" s="94"/>
      <c r="K356" s="474"/>
      <c r="L356" s="482"/>
      <c r="M356" s="494"/>
      <c r="N356" s="3"/>
      <c r="O356" s="3"/>
    </row>
    <row r="357" spans="1:15" s="62" customFormat="1" ht="12.75">
      <c r="A357" s="81"/>
      <c r="B357" s="1" t="s">
        <v>54</v>
      </c>
      <c r="C357" s="1"/>
      <c r="D357" s="16" t="s">
        <v>55</v>
      </c>
      <c r="E357" s="74">
        <f t="shared" si="69"/>
        <v>790.7</v>
      </c>
      <c r="F357" s="452">
        <f>F358</f>
        <v>0</v>
      </c>
      <c r="G357" s="142">
        <f aca="true" t="shared" si="143" ref="G357:M357">G358</f>
        <v>790.7</v>
      </c>
      <c r="H357" s="462">
        <f t="shared" si="143"/>
        <v>0</v>
      </c>
      <c r="I357" s="90">
        <f t="shared" si="143"/>
        <v>0</v>
      </c>
      <c r="J357" s="94">
        <f t="shared" si="143"/>
        <v>0</v>
      </c>
      <c r="K357" s="474">
        <f t="shared" si="143"/>
        <v>0</v>
      </c>
      <c r="L357" s="482">
        <f t="shared" si="143"/>
        <v>0</v>
      </c>
      <c r="M357" s="494">
        <f t="shared" si="143"/>
        <v>0</v>
      </c>
      <c r="N357" s="70"/>
      <c r="O357" s="3"/>
    </row>
    <row r="358" spans="1:15" s="62" customFormat="1" ht="12.75">
      <c r="A358" s="81"/>
      <c r="B358" s="1" t="s">
        <v>56</v>
      </c>
      <c r="C358" s="1"/>
      <c r="D358" s="16" t="s">
        <v>57</v>
      </c>
      <c r="E358" s="74">
        <f>E359+E364+E370</f>
        <v>790.7</v>
      </c>
      <c r="F358" s="451">
        <f aca="true" t="shared" si="144" ref="F358:M358">F359+F364+F370</f>
        <v>0</v>
      </c>
      <c r="G358" s="141">
        <f t="shared" si="144"/>
        <v>790.7</v>
      </c>
      <c r="H358" s="461">
        <f t="shared" si="144"/>
        <v>0</v>
      </c>
      <c r="I358" s="89">
        <f t="shared" si="144"/>
        <v>0</v>
      </c>
      <c r="J358" s="93">
        <f t="shared" si="144"/>
        <v>0</v>
      </c>
      <c r="K358" s="471">
        <f t="shared" si="144"/>
        <v>0</v>
      </c>
      <c r="L358" s="481">
        <f t="shared" si="144"/>
        <v>0</v>
      </c>
      <c r="M358" s="491">
        <f t="shared" si="144"/>
        <v>0</v>
      </c>
      <c r="N358" s="70"/>
      <c r="O358" s="3"/>
    </row>
    <row r="359" spans="1:15" s="62" customFormat="1" ht="15" customHeight="1">
      <c r="A359" s="81"/>
      <c r="B359" s="1" t="s">
        <v>58</v>
      </c>
      <c r="C359" s="1"/>
      <c r="D359" s="16" t="s">
        <v>220</v>
      </c>
      <c r="E359" s="74">
        <f>E360+E362</f>
        <v>-845.5</v>
      </c>
      <c r="F359" s="451">
        <f aca="true" t="shared" si="145" ref="F359:M359">F360+F362</f>
        <v>0</v>
      </c>
      <c r="G359" s="141">
        <f t="shared" si="145"/>
        <v>-845.5</v>
      </c>
      <c r="H359" s="461">
        <f t="shared" si="145"/>
        <v>0</v>
      </c>
      <c r="I359" s="89">
        <f t="shared" si="145"/>
        <v>0</v>
      </c>
      <c r="J359" s="93">
        <f t="shared" si="145"/>
        <v>0</v>
      </c>
      <c r="K359" s="471">
        <f t="shared" si="145"/>
        <v>0</v>
      </c>
      <c r="L359" s="481">
        <f t="shared" si="145"/>
        <v>0</v>
      </c>
      <c r="M359" s="491">
        <f t="shared" si="145"/>
        <v>0</v>
      </c>
      <c r="N359" s="70"/>
      <c r="O359" s="3"/>
    </row>
    <row r="360" spans="1:15" s="62" customFormat="1" ht="12.75">
      <c r="A360" s="81"/>
      <c r="B360" s="1"/>
      <c r="C360" s="1" t="s">
        <v>210</v>
      </c>
      <c r="D360" s="16" t="s">
        <v>211</v>
      </c>
      <c r="E360" s="74">
        <f t="shared" si="69"/>
        <v>-1000</v>
      </c>
      <c r="F360" s="452">
        <f aca="true" t="shared" si="146" ref="F360:M360">F361</f>
        <v>0</v>
      </c>
      <c r="G360" s="142">
        <f t="shared" si="146"/>
        <v>-1000</v>
      </c>
      <c r="H360" s="462">
        <f t="shared" si="146"/>
        <v>0</v>
      </c>
      <c r="I360" s="90">
        <f t="shared" si="146"/>
        <v>0</v>
      </c>
      <c r="J360" s="94">
        <f t="shared" si="146"/>
        <v>0</v>
      </c>
      <c r="K360" s="474">
        <f t="shared" si="146"/>
        <v>0</v>
      </c>
      <c r="L360" s="482">
        <f t="shared" si="146"/>
        <v>0</v>
      </c>
      <c r="M360" s="494">
        <f t="shared" si="146"/>
        <v>0</v>
      </c>
      <c r="N360" s="70"/>
      <c r="O360" s="3"/>
    </row>
    <row r="361" spans="1:15" s="62" customFormat="1" ht="12.75">
      <c r="A361" s="81"/>
      <c r="B361" s="1"/>
      <c r="C361" s="1" t="s">
        <v>8</v>
      </c>
      <c r="D361" s="16" t="s">
        <v>216</v>
      </c>
      <c r="E361" s="74">
        <f t="shared" si="69"/>
        <v>-1000</v>
      </c>
      <c r="F361" s="452"/>
      <c r="G361" s="142">
        <v>-1000</v>
      </c>
      <c r="H361" s="462"/>
      <c r="I361" s="90"/>
      <c r="J361" s="94"/>
      <c r="K361" s="474"/>
      <c r="L361" s="482"/>
      <c r="M361" s="494"/>
      <c r="N361" s="70"/>
      <c r="O361" s="3"/>
    </row>
    <row r="362" spans="1:15" s="62" customFormat="1" ht="25.5" customHeight="1">
      <c r="A362" s="81"/>
      <c r="B362" s="59"/>
      <c r="C362" s="1" t="s">
        <v>232</v>
      </c>
      <c r="D362" s="48" t="s">
        <v>403</v>
      </c>
      <c r="E362" s="74">
        <f>E363</f>
        <v>154.5</v>
      </c>
      <c r="F362" s="451">
        <f aca="true" t="shared" si="147" ref="F362:M362">F363</f>
        <v>0</v>
      </c>
      <c r="G362" s="141">
        <f t="shared" si="147"/>
        <v>154.5</v>
      </c>
      <c r="H362" s="461">
        <f t="shared" si="147"/>
        <v>0</v>
      </c>
      <c r="I362" s="89">
        <f t="shared" si="147"/>
        <v>0</v>
      </c>
      <c r="J362" s="93">
        <f t="shared" si="147"/>
        <v>0</v>
      </c>
      <c r="K362" s="471">
        <f t="shared" si="147"/>
        <v>0</v>
      </c>
      <c r="L362" s="481">
        <f t="shared" si="147"/>
        <v>0</v>
      </c>
      <c r="M362" s="491">
        <f t="shared" si="147"/>
        <v>0</v>
      </c>
      <c r="N362" s="70"/>
      <c r="O362" s="3"/>
    </row>
    <row r="363" spans="1:15" s="62" customFormat="1" ht="12.75">
      <c r="A363" s="81"/>
      <c r="B363" s="59"/>
      <c r="C363" s="1" t="s">
        <v>132</v>
      </c>
      <c r="D363" s="16" t="s">
        <v>251</v>
      </c>
      <c r="E363" s="74">
        <f t="shared" si="69"/>
        <v>154.5</v>
      </c>
      <c r="F363" s="452"/>
      <c r="G363" s="142">
        <v>154.5</v>
      </c>
      <c r="H363" s="462"/>
      <c r="I363" s="90"/>
      <c r="J363" s="94"/>
      <c r="K363" s="474"/>
      <c r="L363" s="482"/>
      <c r="M363" s="494"/>
      <c r="N363" s="70"/>
      <c r="O363" s="3"/>
    </row>
    <row r="364" spans="1:15" s="62" customFormat="1" ht="25.5">
      <c r="A364" s="81"/>
      <c r="B364" s="59" t="s">
        <v>287</v>
      </c>
      <c r="C364" s="1"/>
      <c r="D364" s="16" t="s">
        <v>185</v>
      </c>
      <c r="E364" s="74">
        <f>E365+E367</f>
        <v>1060</v>
      </c>
      <c r="F364" s="451">
        <f aca="true" t="shared" si="148" ref="F364:M364">F365+F367</f>
        <v>0</v>
      </c>
      <c r="G364" s="141">
        <f t="shared" si="148"/>
        <v>1060</v>
      </c>
      <c r="H364" s="461">
        <f t="shared" si="148"/>
        <v>0</v>
      </c>
      <c r="I364" s="89">
        <f t="shared" si="148"/>
        <v>0</v>
      </c>
      <c r="J364" s="93">
        <f t="shared" si="148"/>
        <v>0</v>
      </c>
      <c r="K364" s="471">
        <f t="shared" si="148"/>
        <v>0</v>
      </c>
      <c r="L364" s="481">
        <f t="shared" si="148"/>
        <v>0</v>
      </c>
      <c r="M364" s="491">
        <f t="shared" si="148"/>
        <v>0</v>
      </c>
      <c r="N364" s="70"/>
      <c r="O364" s="3"/>
    </row>
    <row r="365" spans="1:15" s="62" customFormat="1" ht="12.75">
      <c r="A365" s="81"/>
      <c r="B365" s="59"/>
      <c r="C365" s="1" t="s">
        <v>210</v>
      </c>
      <c r="D365" s="16" t="s">
        <v>211</v>
      </c>
      <c r="E365" s="74">
        <f t="shared" si="69"/>
        <v>1000</v>
      </c>
      <c r="F365" s="452">
        <f aca="true" t="shared" si="149" ref="F365:M365">F366</f>
        <v>0</v>
      </c>
      <c r="G365" s="142">
        <f t="shared" si="149"/>
        <v>1000</v>
      </c>
      <c r="H365" s="462">
        <f t="shared" si="149"/>
        <v>0</v>
      </c>
      <c r="I365" s="90">
        <f t="shared" si="149"/>
        <v>0</v>
      </c>
      <c r="J365" s="94">
        <f t="shared" si="149"/>
        <v>0</v>
      </c>
      <c r="K365" s="474">
        <f t="shared" si="149"/>
        <v>0</v>
      </c>
      <c r="L365" s="482">
        <f t="shared" si="149"/>
        <v>0</v>
      </c>
      <c r="M365" s="494">
        <f t="shared" si="149"/>
        <v>0</v>
      </c>
      <c r="N365" s="70"/>
      <c r="O365" s="3"/>
    </row>
    <row r="366" spans="1:15" s="62" customFormat="1" ht="12.75">
      <c r="A366" s="81"/>
      <c r="B366" s="59"/>
      <c r="C366" s="1" t="s">
        <v>8</v>
      </c>
      <c r="D366" s="16" t="s">
        <v>216</v>
      </c>
      <c r="E366" s="74">
        <f t="shared" si="69"/>
        <v>1000</v>
      </c>
      <c r="F366" s="452"/>
      <c r="G366" s="142">
        <v>1000</v>
      </c>
      <c r="H366" s="462"/>
      <c r="I366" s="90"/>
      <c r="J366" s="94"/>
      <c r="K366" s="474"/>
      <c r="L366" s="482"/>
      <c r="M366" s="494"/>
      <c r="N366" s="70"/>
      <c r="O366" s="3"/>
    </row>
    <row r="367" spans="1:15" s="62" customFormat="1" ht="26.25" customHeight="1">
      <c r="A367" s="81"/>
      <c r="B367" s="59"/>
      <c r="C367" s="1" t="s">
        <v>232</v>
      </c>
      <c r="D367" s="48" t="s">
        <v>403</v>
      </c>
      <c r="E367" s="74">
        <f>E368+E369</f>
        <v>60</v>
      </c>
      <c r="F367" s="451">
        <f aca="true" t="shared" si="150" ref="F367:M367">F368+F369</f>
        <v>0</v>
      </c>
      <c r="G367" s="141">
        <f t="shared" si="150"/>
        <v>60</v>
      </c>
      <c r="H367" s="461">
        <f t="shared" si="150"/>
        <v>0</v>
      </c>
      <c r="I367" s="89">
        <f t="shared" si="150"/>
        <v>0</v>
      </c>
      <c r="J367" s="93">
        <f t="shared" si="150"/>
        <v>0</v>
      </c>
      <c r="K367" s="471">
        <f t="shared" si="150"/>
        <v>0</v>
      </c>
      <c r="L367" s="481">
        <f t="shared" si="150"/>
        <v>0</v>
      </c>
      <c r="M367" s="491">
        <f t="shared" si="150"/>
        <v>0</v>
      </c>
      <c r="N367" s="70"/>
      <c r="O367" s="3"/>
    </row>
    <row r="368" spans="1:15" s="62" customFormat="1" ht="12.75">
      <c r="A368" s="81"/>
      <c r="B368" s="59"/>
      <c r="C368" s="1" t="s">
        <v>132</v>
      </c>
      <c r="D368" s="16" t="s">
        <v>251</v>
      </c>
      <c r="E368" s="74">
        <f>F368+G368+H368+I368+J368+K368+L368+M368</f>
        <v>20</v>
      </c>
      <c r="F368" s="451"/>
      <c r="G368" s="141">
        <v>20</v>
      </c>
      <c r="H368" s="461"/>
      <c r="I368" s="89"/>
      <c r="J368" s="93"/>
      <c r="K368" s="471"/>
      <c r="L368" s="481"/>
      <c r="M368" s="491"/>
      <c r="N368" s="70"/>
      <c r="O368" s="3"/>
    </row>
    <row r="369" spans="1:15" s="62" customFormat="1" ht="12.75">
      <c r="A369" s="81"/>
      <c r="B369" s="59"/>
      <c r="C369" s="1" t="s">
        <v>131</v>
      </c>
      <c r="D369" s="16" t="s">
        <v>252</v>
      </c>
      <c r="E369" s="74">
        <f>F369+G369+H369+I369+J369+K369+L369+M369</f>
        <v>40</v>
      </c>
      <c r="F369" s="452"/>
      <c r="G369" s="142">
        <v>40</v>
      </c>
      <c r="H369" s="462"/>
      <c r="I369" s="90"/>
      <c r="J369" s="94"/>
      <c r="K369" s="474"/>
      <c r="L369" s="482"/>
      <c r="M369" s="494"/>
      <c r="N369" s="70"/>
      <c r="O369" s="3"/>
    </row>
    <row r="370" spans="1:15" s="62" customFormat="1" ht="25.5">
      <c r="A370" s="81"/>
      <c r="B370" s="1" t="s">
        <v>360</v>
      </c>
      <c r="C370" s="1"/>
      <c r="D370" s="16" t="s">
        <v>319</v>
      </c>
      <c r="E370" s="74">
        <f>E371</f>
        <v>576.2</v>
      </c>
      <c r="F370" s="451">
        <f aca="true" t="shared" si="151" ref="F370:M371">F371</f>
        <v>0</v>
      </c>
      <c r="G370" s="141">
        <f t="shared" si="151"/>
        <v>576.2</v>
      </c>
      <c r="H370" s="461">
        <f t="shared" si="151"/>
        <v>0</v>
      </c>
      <c r="I370" s="89">
        <f t="shared" si="151"/>
        <v>0</v>
      </c>
      <c r="J370" s="93">
        <f t="shared" si="151"/>
        <v>0</v>
      </c>
      <c r="K370" s="471">
        <f t="shared" si="151"/>
        <v>0</v>
      </c>
      <c r="L370" s="481">
        <f t="shared" si="151"/>
        <v>0</v>
      </c>
      <c r="M370" s="491">
        <f t="shared" si="151"/>
        <v>0</v>
      </c>
      <c r="N370" s="70"/>
      <c r="O370" s="3"/>
    </row>
    <row r="371" spans="1:15" s="62" customFormat="1" ht="26.25" customHeight="1">
      <c r="A371" s="81"/>
      <c r="B371" s="1"/>
      <c r="C371" s="1" t="s">
        <v>232</v>
      </c>
      <c r="D371" s="48" t="s">
        <v>403</v>
      </c>
      <c r="E371" s="74">
        <f>E372</f>
        <v>576.2</v>
      </c>
      <c r="F371" s="451">
        <f t="shared" si="151"/>
        <v>0</v>
      </c>
      <c r="G371" s="141">
        <f t="shared" si="151"/>
        <v>576.2</v>
      </c>
      <c r="H371" s="461">
        <f t="shared" si="151"/>
        <v>0</v>
      </c>
      <c r="I371" s="89">
        <f t="shared" si="151"/>
        <v>0</v>
      </c>
      <c r="J371" s="93">
        <f t="shared" si="151"/>
        <v>0</v>
      </c>
      <c r="K371" s="471">
        <f t="shared" si="151"/>
        <v>0</v>
      </c>
      <c r="L371" s="481">
        <f t="shared" si="151"/>
        <v>0</v>
      </c>
      <c r="M371" s="491">
        <f t="shared" si="151"/>
        <v>0</v>
      </c>
      <c r="N371" s="70"/>
      <c r="O371" s="3"/>
    </row>
    <row r="372" spans="1:15" s="62" customFormat="1" ht="12.75">
      <c r="A372" s="81"/>
      <c r="B372" s="1"/>
      <c r="C372" s="1" t="s">
        <v>132</v>
      </c>
      <c r="D372" s="16" t="s">
        <v>251</v>
      </c>
      <c r="E372" s="74">
        <f>F372+G372+H372+I372+J372+K372+L372+M372</f>
        <v>576.2</v>
      </c>
      <c r="F372" s="452"/>
      <c r="G372" s="142">
        <f>576.2</f>
        <v>576.2</v>
      </c>
      <c r="H372" s="462"/>
      <c r="I372" s="90"/>
      <c r="J372" s="94"/>
      <c r="K372" s="474"/>
      <c r="L372" s="482"/>
      <c r="M372" s="494"/>
      <c r="N372" s="70"/>
      <c r="O372" s="3"/>
    </row>
    <row r="373" spans="1:15" s="62" customFormat="1" ht="12.75">
      <c r="A373" s="548" t="s">
        <v>1080</v>
      </c>
      <c r="B373" s="1"/>
      <c r="C373" s="1"/>
      <c r="D373" s="16" t="s">
        <v>1086</v>
      </c>
      <c r="E373" s="74">
        <f>E374+E378</f>
        <v>365.40000000000003</v>
      </c>
      <c r="F373" s="451">
        <f aca="true" t="shared" si="152" ref="F373:M373">F374+F378</f>
        <v>0</v>
      </c>
      <c r="G373" s="141">
        <f t="shared" si="152"/>
        <v>0</v>
      </c>
      <c r="H373" s="461">
        <f t="shared" si="152"/>
        <v>0</v>
      </c>
      <c r="I373" s="89">
        <f t="shared" si="152"/>
        <v>365.40000000000003</v>
      </c>
      <c r="J373" s="93">
        <f t="shared" si="152"/>
        <v>0</v>
      </c>
      <c r="K373" s="471">
        <f t="shared" si="152"/>
        <v>0</v>
      </c>
      <c r="L373" s="481">
        <f t="shared" si="152"/>
        <v>0</v>
      </c>
      <c r="M373" s="491">
        <f t="shared" si="152"/>
        <v>0</v>
      </c>
      <c r="N373" s="70"/>
      <c r="O373" s="3"/>
    </row>
    <row r="374" spans="1:15" s="62" customFormat="1" ht="12.75">
      <c r="A374" s="81"/>
      <c r="B374" s="1" t="s">
        <v>1081</v>
      </c>
      <c r="C374" s="1"/>
      <c r="D374" s="16" t="s">
        <v>1079</v>
      </c>
      <c r="E374" s="74">
        <f>E375</f>
        <v>365.40000000000003</v>
      </c>
      <c r="F374" s="451">
        <f aca="true" t="shared" si="153" ref="F374:M374">F375</f>
        <v>0</v>
      </c>
      <c r="G374" s="141">
        <f t="shared" si="153"/>
        <v>0</v>
      </c>
      <c r="H374" s="461">
        <f t="shared" si="153"/>
        <v>0</v>
      </c>
      <c r="I374" s="89">
        <f t="shared" si="153"/>
        <v>365.40000000000003</v>
      </c>
      <c r="J374" s="93">
        <f t="shared" si="153"/>
        <v>0</v>
      </c>
      <c r="K374" s="471">
        <f t="shared" si="153"/>
        <v>0</v>
      </c>
      <c r="L374" s="481">
        <f t="shared" si="153"/>
        <v>0</v>
      </c>
      <c r="M374" s="491">
        <f t="shared" si="153"/>
        <v>0</v>
      </c>
      <c r="N374" s="70"/>
      <c r="O374" s="3"/>
    </row>
    <row r="375" spans="1:15" s="62" customFormat="1" ht="27" customHeight="1">
      <c r="A375" s="81"/>
      <c r="B375" s="1"/>
      <c r="C375" s="1" t="s">
        <v>232</v>
      </c>
      <c r="D375" s="48" t="s">
        <v>403</v>
      </c>
      <c r="E375" s="74">
        <f>E376+E377</f>
        <v>365.40000000000003</v>
      </c>
      <c r="F375" s="451">
        <f aca="true" t="shared" si="154" ref="F375:M375">F376+F377</f>
        <v>0</v>
      </c>
      <c r="G375" s="141">
        <f t="shared" si="154"/>
        <v>0</v>
      </c>
      <c r="H375" s="461">
        <f t="shared" si="154"/>
        <v>0</v>
      </c>
      <c r="I375" s="89">
        <f t="shared" si="154"/>
        <v>365.40000000000003</v>
      </c>
      <c r="J375" s="93">
        <f t="shared" si="154"/>
        <v>0</v>
      </c>
      <c r="K375" s="471">
        <f t="shared" si="154"/>
        <v>0</v>
      </c>
      <c r="L375" s="481">
        <f t="shared" si="154"/>
        <v>0</v>
      </c>
      <c r="M375" s="491">
        <f t="shared" si="154"/>
        <v>0</v>
      </c>
      <c r="N375" s="70"/>
      <c r="O375" s="3"/>
    </row>
    <row r="376" spans="1:15" s="62" customFormat="1" ht="12.75">
      <c r="A376" s="81"/>
      <c r="B376" s="1"/>
      <c r="C376" s="1" t="s">
        <v>132</v>
      </c>
      <c r="D376" s="16" t="s">
        <v>251</v>
      </c>
      <c r="E376" s="74">
        <f>F376+G376+H376+I376+J376+K376+L376+M376</f>
        <v>82.86</v>
      </c>
      <c r="F376" s="452"/>
      <c r="G376" s="142"/>
      <c r="H376" s="462"/>
      <c r="I376" s="90">
        <v>82.86</v>
      </c>
      <c r="J376" s="94"/>
      <c r="K376" s="474"/>
      <c r="L376" s="482"/>
      <c r="M376" s="494"/>
      <c r="N376" s="70"/>
      <c r="O376" s="3"/>
    </row>
    <row r="377" spans="1:15" s="62" customFormat="1" ht="12.75">
      <c r="A377" s="81"/>
      <c r="B377" s="1"/>
      <c r="C377" s="1" t="s">
        <v>131</v>
      </c>
      <c r="D377" s="16" t="s">
        <v>252</v>
      </c>
      <c r="E377" s="74">
        <f>F377+G377+H377+I377+J377+K377+L377+M377</f>
        <v>282.54</v>
      </c>
      <c r="F377" s="452"/>
      <c r="G377" s="142"/>
      <c r="H377" s="462"/>
      <c r="I377" s="90">
        <v>282.54</v>
      </c>
      <c r="J377" s="94"/>
      <c r="K377" s="474"/>
      <c r="L377" s="482"/>
      <c r="M377" s="494"/>
      <c r="N377" s="70"/>
      <c r="O377" s="3"/>
    </row>
    <row r="378" spans="1:15" s="62" customFormat="1" ht="12.75">
      <c r="A378" s="81"/>
      <c r="B378" s="1" t="s">
        <v>1082</v>
      </c>
      <c r="C378" s="1"/>
      <c r="D378" s="16" t="s">
        <v>1088</v>
      </c>
      <c r="E378" s="74">
        <f>E379</f>
        <v>0</v>
      </c>
      <c r="F378" s="451">
        <f aca="true" t="shared" si="155" ref="F378:M380">F379</f>
        <v>0</v>
      </c>
      <c r="G378" s="141">
        <f t="shared" si="155"/>
        <v>0</v>
      </c>
      <c r="H378" s="461">
        <f t="shared" si="155"/>
        <v>0</v>
      </c>
      <c r="I378" s="89">
        <f t="shared" si="155"/>
        <v>0</v>
      </c>
      <c r="J378" s="93">
        <f t="shared" si="155"/>
        <v>0</v>
      </c>
      <c r="K378" s="471">
        <f t="shared" si="155"/>
        <v>0</v>
      </c>
      <c r="L378" s="481">
        <f t="shared" si="155"/>
        <v>0</v>
      </c>
      <c r="M378" s="491">
        <f t="shared" si="155"/>
        <v>0</v>
      </c>
      <c r="N378" s="70"/>
      <c r="O378" s="3"/>
    </row>
    <row r="379" spans="1:15" s="62" customFormat="1" ht="12.75">
      <c r="A379" s="81"/>
      <c r="B379" s="1" t="s">
        <v>1083</v>
      </c>
      <c r="C379" s="1"/>
      <c r="D379" s="16" t="s">
        <v>1089</v>
      </c>
      <c r="E379" s="74">
        <f>E380</f>
        <v>0</v>
      </c>
      <c r="F379" s="451">
        <f t="shared" si="155"/>
        <v>0</v>
      </c>
      <c r="G379" s="141">
        <f t="shared" si="155"/>
        <v>0</v>
      </c>
      <c r="H379" s="461">
        <f t="shared" si="155"/>
        <v>0</v>
      </c>
      <c r="I379" s="89">
        <f t="shared" si="155"/>
        <v>0</v>
      </c>
      <c r="J379" s="93">
        <f t="shared" si="155"/>
        <v>0</v>
      </c>
      <c r="K379" s="471">
        <f t="shared" si="155"/>
        <v>0</v>
      </c>
      <c r="L379" s="481">
        <f t="shared" si="155"/>
        <v>0</v>
      </c>
      <c r="M379" s="491">
        <f t="shared" si="155"/>
        <v>0</v>
      </c>
      <c r="N379" s="70"/>
      <c r="O379" s="3"/>
    </row>
    <row r="380" spans="1:15" s="62" customFormat="1" ht="12.75">
      <c r="A380" s="81"/>
      <c r="B380" s="1" t="s">
        <v>1084</v>
      </c>
      <c r="C380" s="1"/>
      <c r="D380" s="16" t="s">
        <v>1089</v>
      </c>
      <c r="E380" s="74">
        <f>E381</f>
        <v>0</v>
      </c>
      <c r="F380" s="451">
        <f t="shared" si="155"/>
        <v>0</v>
      </c>
      <c r="G380" s="141">
        <f t="shared" si="155"/>
        <v>0</v>
      </c>
      <c r="H380" s="461">
        <f t="shared" si="155"/>
        <v>0</v>
      </c>
      <c r="I380" s="89">
        <f t="shared" si="155"/>
        <v>0</v>
      </c>
      <c r="J380" s="93">
        <f t="shared" si="155"/>
        <v>0</v>
      </c>
      <c r="K380" s="471">
        <f t="shared" si="155"/>
        <v>0</v>
      </c>
      <c r="L380" s="481">
        <f t="shared" si="155"/>
        <v>0</v>
      </c>
      <c r="M380" s="491">
        <f t="shared" si="155"/>
        <v>0</v>
      </c>
      <c r="N380" s="70"/>
      <c r="O380" s="3"/>
    </row>
    <row r="381" spans="1:15" s="62" customFormat="1" ht="24.75" customHeight="1">
      <c r="A381" s="81"/>
      <c r="B381" s="1"/>
      <c r="C381" s="1" t="s">
        <v>232</v>
      </c>
      <c r="D381" s="48" t="s">
        <v>403</v>
      </c>
      <c r="E381" s="74">
        <f>E382+E383</f>
        <v>0</v>
      </c>
      <c r="F381" s="451">
        <f aca="true" t="shared" si="156" ref="F381:M381">F382+F383</f>
        <v>0</v>
      </c>
      <c r="G381" s="141">
        <f t="shared" si="156"/>
        <v>0</v>
      </c>
      <c r="H381" s="461">
        <f t="shared" si="156"/>
        <v>0</v>
      </c>
      <c r="I381" s="89">
        <f t="shared" si="156"/>
        <v>0</v>
      </c>
      <c r="J381" s="93">
        <f t="shared" si="156"/>
        <v>0</v>
      </c>
      <c r="K381" s="471">
        <f t="shared" si="156"/>
        <v>0</v>
      </c>
      <c r="L381" s="481">
        <f t="shared" si="156"/>
        <v>0</v>
      </c>
      <c r="M381" s="491">
        <f t="shared" si="156"/>
        <v>0</v>
      </c>
      <c r="N381" s="70"/>
      <c r="O381" s="3"/>
    </row>
    <row r="382" spans="1:15" s="62" customFormat="1" ht="12.75">
      <c r="A382" s="81"/>
      <c r="B382" s="1"/>
      <c r="C382" s="1" t="s">
        <v>132</v>
      </c>
      <c r="D382" s="16" t="s">
        <v>251</v>
      </c>
      <c r="E382" s="74">
        <f>F382+G382+H382+I382+J382+K382+L382+M382</f>
        <v>413.28</v>
      </c>
      <c r="F382" s="452">
        <v>413.28</v>
      </c>
      <c r="G382" s="142"/>
      <c r="H382" s="462"/>
      <c r="I382" s="90"/>
      <c r="J382" s="94"/>
      <c r="K382" s="474"/>
      <c r="L382" s="482"/>
      <c r="M382" s="494"/>
      <c r="N382" s="70"/>
      <c r="O382" s="3"/>
    </row>
    <row r="383" spans="1:15" s="62" customFormat="1" ht="12.75">
      <c r="A383" s="81"/>
      <c r="B383" s="1"/>
      <c r="C383" s="1" t="s">
        <v>131</v>
      </c>
      <c r="D383" s="16" t="s">
        <v>252</v>
      </c>
      <c r="E383" s="74">
        <f>F383+G383+H383+I383+J383+K383+L383+M383</f>
        <v>-413.28</v>
      </c>
      <c r="F383" s="452">
        <v>-413.28</v>
      </c>
      <c r="G383" s="142"/>
      <c r="H383" s="462"/>
      <c r="I383" s="90"/>
      <c r="J383" s="94"/>
      <c r="K383" s="474"/>
      <c r="L383" s="482"/>
      <c r="M383" s="494"/>
      <c r="N383" s="70"/>
      <c r="O383" s="3"/>
    </row>
    <row r="384" spans="1:15" s="62" customFormat="1" ht="12.75">
      <c r="A384" s="548" t="s">
        <v>1085</v>
      </c>
      <c r="B384" s="1"/>
      <c r="C384" s="1"/>
      <c r="D384" s="16" t="s">
        <v>1087</v>
      </c>
      <c r="E384" s="74">
        <f>E385</f>
        <v>846.9</v>
      </c>
      <c r="F384" s="451">
        <f aca="true" t="shared" si="157" ref="F384:M385">F385</f>
        <v>0</v>
      </c>
      <c r="G384" s="141">
        <f t="shared" si="157"/>
        <v>0</v>
      </c>
      <c r="H384" s="461">
        <f t="shared" si="157"/>
        <v>0</v>
      </c>
      <c r="I384" s="89">
        <f t="shared" si="157"/>
        <v>846.9</v>
      </c>
      <c r="J384" s="93">
        <f t="shared" si="157"/>
        <v>0</v>
      </c>
      <c r="K384" s="471">
        <f t="shared" si="157"/>
        <v>0</v>
      </c>
      <c r="L384" s="481">
        <f t="shared" si="157"/>
        <v>0</v>
      </c>
      <c r="M384" s="491">
        <f t="shared" si="157"/>
        <v>0</v>
      </c>
      <c r="N384" s="70"/>
      <c r="O384" s="3"/>
    </row>
    <row r="385" spans="1:15" s="62" customFormat="1" ht="12.75">
      <c r="A385" s="81"/>
      <c r="B385" s="1" t="s">
        <v>1081</v>
      </c>
      <c r="C385" s="1"/>
      <c r="D385" s="16" t="s">
        <v>1079</v>
      </c>
      <c r="E385" s="74">
        <f>E386</f>
        <v>846.9</v>
      </c>
      <c r="F385" s="451">
        <f t="shared" si="157"/>
        <v>0</v>
      </c>
      <c r="G385" s="141">
        <f t="shared" si="157"/>
        <v>0</v>
      </c>
      <c r="H385" s="461">
        <f t="shared" si="157"/>
        <v>0</v>
      </c>
      <c r="I385" s="89">
        <f t="shared" si="157"/>
        <v>846.9</v>
      </c>
      <c r="J385" s="93">
        <f t="shared" si="157"/>
        <v>0</v>
      </c>
      <c r="K385" s="471">
        <f t="shared" si="157"/>
        <v>0</v>
      </c>
      <c r="L385" s="481">
        <f t="shared" si="157"/>
        <v>0</v>
      </c>
      <c r="M385" s="491">
        <f t="shared" si="157"/>
        <v>0</v>
      </c>
      <c r="N385" s="70"/>
      <c r="O385" s="3"/>
    </row>
    <row r="386" spans="1:15" s="62" customFormat="1" ht="27.75" customHeight="1">
      <c r="A386" s="81"/>
      <c r="B386" s="1"/>
      <c r="C386" s="1" t="s">
        <v>232</v>
      </c>
      <c r="D386" s="48" t="s">
        <v>403</v>
      </c>
      <c r="E386" s="74">
        <f>E387+E388</f>
        <v>846.9</v>
      </c>
      <c r="F386" s="451">
        <f aca="true" t="shared" si="158" ref="F386:M386">F387+F388</f>
        <v>0</v>
      </c>
      <c r="G386" s="141">
        <f t="shared" si="158"/>
        <v>0</v>
      </c>
      <c r="H386" s="461">
        <f t="shared" si="158"/>
        <v>0</v>
      </c>
      <c r="I386" s="89">
        <f t="shared" si="158"/>
        <v>846.9</v>
      </c>
      <c r="J386" s="93">
        <f t="shared" si="158"/>
        <v>0</v>
      </c>
      <c r="K386" s="471">
        <f t="shared" si="158"/>
        <v>0</v>
      </c>
      <c r="L386" s="481">
        <f t="shared" si="158"/>
        <v>0</v>
      </c>
      <c r="M386" s="491">
        <f t="shared" si="158"/>
        <v>0</v>
      </c>
      <c r="N386" s="70"/>
      <c r="O386" s="3"/>
    </row>
    <row r="387" spans="1:15" s="62" customFormat="1" ht="12.75">
      <c r="A387" s="81"/>
      <c r="B387" s="1"/>
      <c r="C387" s="1" t="s">
        <v>132</v>
      </c>
      <c r="D387" s="16" t="s">
        <v>251</v>
      </c>
      <c r="E387" s="74">
        <f>F387+G387+H387+I387+J387+K387+L387+M387</f>
        <v>282.64</v>
      </c>
      <c r="F387" s="452"/>
      <c r="G387" s="142"/>
      <c r="H387" s="462"/>
      <c r="I387" s="90">
        <v>282.64</v>
      </c>
      <c r="J387" s="94"/>
      <c r="K387" s="474"/>
      <c r="L387" s="482"/>
      <c r="M387" s="494"/>
      <c r="N387" s="70"/>
      <c r="O387" s="3"/>
    </row>
    <row r="388" spans="1:15" s="62" customFormat="1" ht="12.75">
      <c r="A388" s="81"/>
      <c r="B388" s="1"/>
      <c r="C388" s="1" t="s">
        <v>131</v>
      </c>
      <c r="D388" s="16" t="s">
        <v>252</v>
      </c>
      <c r="E388" s="74">
        <f>F388+G388+H388+I388+J388+K388+L388+M388</f>
        <v>564.26</v>
      </c>
      <c r="F388" s="452"/>
      <c r="G388" s="142"/>
      <c r="H388" s="462"/>
      <c r="I388" s="90">
        <v>564.26</v>
      </c>
      <c r="J388" s="94"/>
      <c r="K388" s="474"/>
      <c r="L388" s="482"/>
      <c r="M388" s="494"/>
      <c r="N388" s="70"/>
      <c r="O388" s="3"/>
    </row>
    <row r="389" spans="1:15" s="67" customFormat="1" ht="12.75">
      <c r="A389" s="10" t="s">
        <v>59</v>
      </c>
      <c r="B389" s="10"/>
      <c r="C389" s="10"/>
      <c r="D389" s="15" t="s">
        <v>267</v>
      </c>
      <c r="E389" s="425">
        <f aca="true" t="shared" si="159" ref="E389:M389">E390+E417</f>
        <v>16144.205</v>
      </c>
      <c r="F389" s="450">
        <f t="shared" si="159"/>
        <v>1004.685</v>
      </c>
      <c r="G389" s="140">
        <f t="shared" si="159"/>
        <v>14000</v>
      </c>
      <c r="H389" s="460">
        <f t="shared" si="159"/>
        <v>0</v>
      </c>
      <c r="I389" s="88">
        <f t="shared" si="159"/>
        <v>0</v>
      </c>
      <c r="J389" s="92">
        <f t="shared" si="159"/>
        <v>0</v>
      </c>
      <c r="K389" s="470">
        <f t="shared" si="159"/>
        <v>756.1</v>
      </c>
      <c r="L389" s="480">
        <f t="shared" si="159"/>
        <v>383.42</v>
      </c>
      <c r="M389" s="490">
        <f t="shared" si="159"/>
        <v>0</v>
      </c>
      <c r="N389" s="4"/>
      <c r="O389" s="4"/>
    </row>
    <row r="390" spans="1:15" s="62" customFormat="1" ht="12.75">
      <c r="A390" s="1" t="s">
        <v>1</v>
      </c>
      <c r="B390" s="1"/>
      <c r="C390" s="1"/>
      <c r="D390" s="16" t="s">
        <v>221</v>
      </c>
      <c r="E390" s="74">
        <f>E391+E395+E400+E411</f>
        <v>15898.705</v>
      </c>
      <c r="F390" s="451">
        <f aca="true" t="shared" si="160" ref="F390:M390">F391+F395+F400+F411</f>
        <v>759.185</v>
      </c>
      <c r="G390" s="141">
        <f t="shared" si="160"/>
        <v>14000</v>
      </c>
      <c r="H390" s="461">
        <f t="shared" si="160"/>
        <v>0</v>
      </c>
      <c r="I390" s="89">
        <f t="shared" si="160"/>
        <v>0</v>
      </c>
      <c r="J390" s="93">
        <f t="shared" si="160"/>
        <v>0</v>
      </c>
      <c r="K390" s="471">
        <f t="shared" si="160"/>
        <v>756.1</v>
      </c>
      <c r="L390" s="481">
        <f t="shared" si="160"/>
        <v>383.42</v>
      </c>
      <c r="M390" s="491">
        <f t="shared" si="160"/>
        <v>0</v>
      </c>
      <c r="N390" s="3"/>
      <c r="O390" s="3"/>
    </row>
    <row r="391" spans="1:15" s="62" customFormat="1" ht="12.75">
      <c r="A391" s="1"/>
      <c r="B391" s="1" t="s">
        <v>404</v>
      </c>
      <c r="C391" s="1"/>
      <c r="D391" s="16" t="s">
        <v>406</v>
      </c>
      <c r="E391" s="74">
        <f>E392</f>
        <v>441.9</v>
      </c>
      <c r="F391" s="451">
        <f aca="true" t="shared" si="161" ref="F391:M393">F392</f>
        <v>441.9</v>
      </c>
      <c r="G391" s="141">
        <f t="shared" si="161"/>
        <v>0</v>
      </c>
      <c r="H391" s="461">
        <f t="shared" si="161"/>
        <v>0</v>
      </c>
      <c r="I391" s="89">
        <f t="shared" si="161"/>
        <v>0</v>
      </c>
      <c r="J391" s="93">
        <f t="shared" si="161"/>
        <v>0</v>
      </c>
      <c r="K391" s="471">
        <f t="shared" si="161"/>
        <v>0</v>
      </c>
      <c r="L391" s="481">
        <f t="shared" si="161"/>
        <v>0</v>
      </c>
      <c r="M391" s="491">
        <f t="shared" si="161"/>
        <v>0</v>
      </c>
      <c r="N391" s="3"/>
      <c r="O391" s="3"/>
    </row>
    <row r="392" spans="1:15" s="62" customFormat="1" ht="29.25" customHeight="1">
      <c r="A392" s="1"/>
      <c r="B392" s="1" t="s">
        <v>405</v>
      </c>
      <c r="C392" s="1"/>
      <c r="D392" s="16" t="s">
        <v>407</v>
      </c>
      <c r="E392" s="74">
        <f>E393</f>
        <v>441.9</v>
      </c>
      <c r="F392" s="451">
        <f t="shared" si="161"/>
        <v>441.9</v>
      </c>
      <c r="G392" s="141">
        <f t="shared" si="161"/>
        <v>0</v>
      </c>
      <c r="H392" s="461">
        <f t="shared" si="161"/>
        <v>0</v>
      </c>
      <c r="I392" s="89">
        <f t="shared" si="161"/>
        <v>0</v>
      </c>
      <c r="J392" s="93">
        <f t="shared" si="161"/>
        <v>0</v>
      </c>
      <c r="K392" s="471">
        <f t="shared" si="161"/>
        <v>0</v>
      </c>
      <c r="L392" s="481">
        <f t="shared" si="161"/>
        <v>0</v>
      </c>
      <c r="M392" s="491">
        <f t="shared" si="161"/>
        <v>0</v>
      </c>
      <c r="N392" s="3"/>
      <c r="O392" s="3"/>
    </row>
    <row r="393" spans="1:15" s="62" customFormat="1" ht="26.25" customHeight="1">
      <c r="A393" s="1"/>
      <c r="B393" s="1"/>
      <c r="C393" s="1" t="s">
        <v>232</v>
      </c>
      <c r="D393" s="48" t="s">
        <v>403</v>
      </c>
      <c r="E393" s="74">
        <f>E394</f>
        <v>441.9</v>
      </c>
      <c r="F393" s="451">
        <f t="shared" si="161"/>
        <v>441.9</v>
      </c>
      <c r="G393" s="141">
        <f t="shared" si="161"/>
        <v>0</v>
      </c>
      <c r="H393" s="461">
        <f t="shared" si="161"/>
        <v>0</v>
      </c>
      <c r="I393" s="89">
        <f t="shared" si="161"/>
        <v>0</v>
      </c>
      <c r="J393" s="93">
        <f t="shared" si="161"/>
        <v>0</v>
      </c>
      <c r="K393" s="471">
        <f t="shared" si="161"/>
        <v>0</v>
      </c>
      <c r="L393" s="481">
        <f t="shared" si="161"/>
        <v>0</v>
      </c>
      <c r="M393" s="491">
        <f t="shared" si="161"/>
        <v>0</v>
      </c>
      <c r="N393" s="3"/>
      <c r="O393" s="3"/>
    </row>
    <row r="394" spans="1:15" s="62" customFormat="1" ht="12.75">
      <c r="A394" s="1"/>
      <c r="B394" s="1"/>
      <c r="C394" s="1" t="s">
        <v>132</v>
      </c>
      <c r="D394" s="16" t="s">
        <v>251</v>
      </c>
      <c r="E394" s="74">
        <f>F394+G394+H394+I394+J394+K394+L394+M394</f>
        <v>441.9</v>
      </c>
      <c r="F394" s="451">
        <v>441.9</v>
      </c>
      <c r="G394" s="141"/>
      <c r="H394" s="461"/>
      <c r="I394" s="89"/>
      <c r="J394" s="93"/>
      <c r="K394" s="471"/>
      <c r="L394" s="481"/>
      <c r="M394" s="491"/>
      <c r="N394" s="3"/>
      <c r="O394" s="3"/>
    </row>
    <row r="395" spans="1:15" s="62" customFormat="1" ht="12.75">
      <c r="A395" s="1"/>
      <c r="B395" s="1" t="s">
        <v>255</v>
      </c>
      <c r="C395" s="1"/>
      <c r="D395" s="16" t="s">
        <v>187</v>
      </c>
      <c r="E395" s="74">
        <f>E396</f>
        <v>317.285</v>
      </c>
      <c r="F395" s="451">
        <f aca="true" t="shared" si="162" ref="F395:M398">F396</f>
        <v>317.285</v>
      </c>
      <c r="G395" s="141">
        <f t="shared" si="162"/>
        <v>0</v>
      </c>
      <c r="H395" s="461">
        <f t="shared" si="162"/>
        <v>0</v>
      </c>
      <c r="I395" s="89">
        <f t="shared" si="162"/>
        <v>0</v>
      </c>
      <c r="J395" s="93">
        <f t="shared" si="162"/>
        <v>0</v>
      </c>
      <c r="K395" s="471">
        <f t="shared" si="162"/>
        <v>0</v>
      </c>
      <c r="L395" s="481">
        <f t="shared" si="162"/>
        <v>0</v>
      </c>
      <c r="M395" s="491">
        <f t="shared" si="162"/>
        <v>0</v>
      </c>
      <c r="N395" s="3"/>
      <c r="O395" s="3"/>
    </row>
    <row r="396" spans="1:15" s="62" customFormat="1" ht="12.75">
      <c r="A396" s="1"/>
      <c r="B396" s="1" t="s">
        <v>256</v>
      </c>
      <c r="C396" s="1"/>
      <c r="D396" s="16" t="s">
        <v>187</v>
      </c>
      <c r="E396" s="74">
        <f>E397</f>
        <v>317.285</v>
      </c>
      <c r="F396" s="451">
        <f t="shared" si="162"/>
        <v>317.285</v>
      </c>
      <c r="G396" s="141">
        <f t="shared" si="162"/>
        <v>0</v>
      </c>
      <c r="H396" s="461">
        <f t="shared" si="162"/>
        <v>0</v>
      </c>
      <c r="I396" s="89">
        <f t="shared" si="162"/>
        <v>0</v>
      </c>
      <c r="J396" s="93">
        <f t="shared" si="162"/>
        <v>0</v>
      </c>
      <c r="K396" s="471">
        <f t="shared" si="162"/>
        <v>0</v>
      </c>
      <c r="L396" s="481">
        <f t="shared" si="162"/>
        <v>0</v>
      </c>
      <c r="M396" s="491">
        <f t="shared" si="162"/>
        <v>0</v>
      </c>
      <c r="N396" s="3"/>
      <c r="O396" s="3"/>
    </row>
    <row r="397" spans="1:15" s="62" customFormat="1" ht="12.75">
      <c r="A397" s="1"/>
      <c r="B397" s="1" t="s">
        <v>257</v>
      </c>
      <c r="C397" s="1"/>
      <c r="D397" s="16" t="s">
        <v>187</v>
      </c>
      <c r="E397" s="74">
        <f>E398</f>
        <v>317.285</v>
      </c>
      <c r="F397" s="451">
        <f t="shared" si="162"/>
        <v>317.285</v>
      </c>
      <c r="G397" s="141">
        <f t="shared" si="162"/>
        <v>0</v>
      </c>
      <c r="H397" s="461">
        <f t="shared" si="162"/>
        <v>0</v>
      </c>
      <c r="I397" s="89">
        <f t="shared" si="162"/>
        <v>0</v>
      </c>
      <c r="J397" s="93">
        <f t="shared" si="162"/>
        <v>0</v>
      </c>
      <c r="K397" s="471">
        <f t="shared" si="162"/>
        <v>0</v>
      </c>
      <c r="L397" s="481">
        <f t="shared" si="162"/>
        <v>0</v>
      </c>
      <c r="M397" s="491">
        <f t="shared" si="162"/>
        <v>0</v>
      </c>
      <c r="N397" s="3"/>
      <c r="O397" s="3"/>
    </row>
    <row r="398" spans="1:15" s="62" customFormat="1" ht="12.75">
      <c r="A398" s="1"/>
      <c r="B398" s="1"/>
      <c r="C398" s="1" t="s">
        <v>210</v>
      </c>
      <c r="D398" s="16" t="s">
        <v>211</v>
      </c>
      <c r="E398" s="74">
        <f>E399</f>
        <v>317.285</v>
      </c>
      <c r="F398" s="451">
        <f t="shared" si="162"/>
        <v>317.285</v>
      </c>
      <c r="G398" s="141">
        <f t="shared" si="162"/>
        <v>0</v>
      </c>
      <c r="H398" s="461">
        <f t="shared" si="162"/>
        <v>0</v>
      </c>
      <c r="I398" s="89">
        <f t="shared" si="162"/>
        <v>0</v>
      </c>
      <c r="J398" s="93">
        <f t="shared" si="162"/>
        <v>0</v>
      </c>
      <c r="K398" s="471">
        <f t="shared" si="162"/>
        <v>0</v>
      </c>
      <c r="L398" s="481">
        <f t="shared" si="162"/>
        <v>0</v>
      </c>
      <c r="M398" s="491">
        <f t="shared" si="162"/>
        <v>0</v>
      </c>
      <c r="N398" s="3"/>
      <c r="O398" s="3"/>
    </row>
    <row r="399" spans="1:15" s="62" customFormat="1" ht="12.75">
      <c r="A399" s="1"/>
      <c r="B399" s="1"/>
      <c r="C399" s="1" t="s">
        <v>8</v>
      </c>
      <c r="D399" s="16" t="s">
        <v>216</v>
      </c>
      <c r="E399" s="74">
        <f>F399+G399+H399+I399+J399+K399+L399+M399</f>
        <v>317.285</v>
      </c>
      <c r="F399" s="451">
        <v>317.285</v>
      </c>
      <c r="G399" s="141"/>
      <c r="H399" s="461"/>
      <c r="I399" s="89"/>
      <c r="J399" s="93"/>
      <c r="K399" s="471"/>
      <c r="L399" s="481"/>
      <c r="M399" s="491"/>
      <c r="N399" s="3"/>
      <c r="O399" s="3"/>
    </row>
    <row r="400" spans="1:15" s="62" customFormat="1" ht="12.75">
      <c r="A400" s="81"/>
      <c r="B400" s="1" t="s">
        <v>37</v>
      </c>
      <c r="C400" s="1"/>
      <c r="D400" s="16" t="s">
        <v>38</v>
      </c>
      <c r="E400" s="74">
        <f aca="true" t="shared" si="163" ref="E400:E410">F400+G400+H400+I400+J400+K400+L400+M400</f>
        <v>1139.52</v>
      </c>
      <c r="F400" s="452">
        <f>F401+F407</f>
        <v>0</v>
      </c>
      <c r="G400" s="142">
        <f aca="true" t="shared" si="164" ref="G400:M400">G401+G407</f>
        <v>0</v>
      </c>
      <c r="H400" s="462">
        <f t="shared" si="164"/>
        <v>0</v>
      </c>
      <c r="I400" s="90">
        <f t="shared" si="164"/>
        <v>0</v>
      </c>
      <c r="J400" s="94">
        <f t="shared" si="164"/>
        <v>0</v>
      </c>
      <c r="K400" s="474">
        <f t="shared" si="164"/>
        <v>756.1</v>
      </c>
      <c r="L400" s="482">
        <f t="shared" si="164"/>
        <v>383.42</v>
      </c>
      <c r="M400" s="494">
        <f t="shared" si="164"/>
        <v>0</v>
      </c>
      <c r="N400" s="3"/>
      <c r="O400" s="3"/>
    </row>
    <row r="401" spans="1:15" s="62" customFormat="1" ht="25.5">
      <c r="A401" s="81"/>
      <c r="B401" s="1" t="s">
        <v>209</v>
      </c>
      <c r="C401" s="1"/>
      <c r="D401" s="16" t="s">
        <v>3</v>
      </c>
      <c r="E401" s="74">
        <f t="shared" si="163"/>
        <v>756.1</v>
      </c>
      <c r="F401" s="452">
        <f>F402</f>
        <v>0</v>
      </c>
      <c r="G401" s="142">
        <f aca="true" t="shared" si="165" ref="G401:M403">G402</f>
        <v>0</v>
      </c>
      <c r="H401" s="462">
        <f t="shared" si="165"/>
        <v>0</v>
      </c>
      <c r="I401" s="90">
        <f t="shared" si="165"/>
        <v>0</v>
      </c>
      <c r="J401" s="94">
        <f t="shared" si="165"/>
        <v>0</v>
      </c>
      <c r="K401" s="474">
        <f t="shared" si="165"/>
        <v>756.1</v>
      </c>
      <c r="L401" s="482">
        <f t="shared" si="165"/>
        <v>0</v>
      </c>
      <c r="M401" s="494">
        <f t="shared" si="165"/>
        <v>0</v>
      </c>
      <c r="N401" s="3"/>
      <c r="O401" s="3"/>
    </row>
    <row r="402" spans="1:15" s="62" customFormat="1" ht="12.75">
      <c r="A402" s="81"/>
      <c r="B402" s="59" t="s">
        <v>177</v>
      </c>
      <c r="C402" s="1"/>
      <c r="D402" s="16" t="s">
        <v>166</v>
      </c>
      <c r="E402" s="74">
        <f t="shared" si="163"/>
        <v>756.1</v>
      </c>
      <c r="F402" s="452">
        <f>F403+F405</f>
        <v>0</v>
      </c>
      <c r="G402" s="142">
        <f aca="true" t="shared" si="166" ref="G402:M402">G403+G405</f>
        <v>0</v>
      </c>
      <c r="H402" s="462">
        <f t="shared" si="166"/>
        <v>0</v>
      </c>
      <c r="I402" s="90">
        <f t="shared" si="166"/>
        <v>0</v>
      </c>
      <c r="J402" s="94">
        <f t="shared" si="166"/>
        <v>0</v>
      </c>
      <c r="K402" s="474">
        <f t="shared" si="166"/>
        <v>756.1</v>
      </c>
      <c r="L402" s="482">
        <f t="shared" si="166"/>
        <v>0</v>
      </c>
      <c r="M402" s="494">
        <f t="shared" si="166"/>
        <v>0</v>
      </c>
      <c r="N402" s="3"/>
      <c r="O402" s="3"/>
    </row>
    <row r="403" spans="1:15" s="62" customFormat="1" ht="12.75">
      <c r="A403" s="81"/>
      <c r="B403" s="59"/>
      <c r="C403" s="1" t="s">
        <v>210</v>
      </c>
      <c r="D403" s="16" t="s">
        <v>211</v>
      </c>
      <c r="E403" s="74">
        <f t="shared" si="163"/>
        <v>156.1</v>
      </c>
      <c r="F403" s="452">
        <f>F404</f>
        <v>0</v>
      </c>
      <c r="G403" s="142">
        <f t="shared" si="165"/>
        <v>0</v>
      </c>
      <c r="H403" s="462">
        <f t="shared" si="165"/>
        <v>0</v>
      </c>
      <c r="I403" s="90">
        <f t="shared" si="165"/>
        <v>0</v>
      </c>
      <c r="J403" s="94">
        <f t="shared" si="165"/>
        <v>0</v>
      </c>
      <c r="K403" s="474">
        <f t="shared" si="165"/>
        <v>156.1</v>
      </c>
      <c r="L403" s="482">
        <f t="shared" si="165"/>
        <v>0</v>
      </c>
      <c r="M403" s="494">
        <f t="shared" si="165"/>
        <v>0</v>
      </c>
      <c r="N403" s="3"/>
      <c r="O403" s="3"/>
    </row>
    <row r="404" spans="1:15" s="62" customFormat="1" ht="12.75">
      <c r="A404" s="81"/>
      <c r="B404" s="59"/>
      <c r="C404" s="1" t="s">
        <v>8</v>
      </c>
      <c r="D404" s="16" t="s">
        <v>216</v>
      </c>
      <c r="E404" s="74">
        <f t="shared" si="163"/>
        <v>156.1</v>
      </c>
      <c r="F404" s="452"/>
      <c r="G404" s="142"/>
      <c r="H404" s="462"/>
      <c r="I404" s="90"/>
      <c r="J404" s="94"/>
      <c r="K404" s="474">
        <v>156.1</v>
      </c>
      <c r="L404" s="482"/>
      <c r="M404" s="494"/>
      <c r="N404" s="3"/>
      <c r="O404" s="3"/>
    </row>
    <row r="405" spans="1:15" s="62" customFormat="1" ht="12.75">
      <c r="A405" s="81"/>
      <c r="B405" s="59"/>
      <c r="C405" s="1" t="s">
        <v>71</v>
      </c>
      <c r="D405" s="16" t="s">
        <v>38</v>
      </c>
      <c r="E405" s="74">
        <f t="shared" si="163"/>
        <v>600</v>
      </c>
      <c r="F405" s="452">
        <f>F406</f>
        <v>0</v>
      </c>
      <c r="G405" s="142">
        <f aca="true" t="shared" si="167" ref="G405:M405">G406</f>
        <v>0</v>
      </c>
      <c r="H405" s="462">
        <f t="shared" si="167"/>
        <v>0</v>
      </c>
      <c r="I405" s="90">
        <f t="shared" si="167"/>
        <v>0</v>
      </c>
      <c r="J405" s="94">
        <f t="shared" si="167"/>
        <v>0</v>
      </c>
      <c r="K405" s="474">
        <f t="shared" si="167"/>
        <v>600</v>
      </c>
      <c r="L405" s="482">
        <f t="shared" si="167"/>
        <v>0</v>
      </c>
      <c r="M405" s="494">
        <f t="shared" si="167"/>
        <v>0</v>
      </c>
      <c r="N405" s="3"/>
      <c r="O405" s="3"/>
    </row>
    <row r="406" spans="1:15" s="62" customFormat="1" ht="12.75">
      <c r="A406" s="81"/>
      <c r="B406" s="59"/>
      <c r="C406" s="1" t="s">
        <v>120</v>
      </c>
      <c r="D406" s="16" t="s">
        <v>100</v>
      </c>
      <c r="E406" s="74">
        <f t="shared" si="163"/>
        <v>600</v>
      </c>
      <c r="F406" s="452"/>
      <c r="G406" s="142"/>
      <c r="H406" s="462"/>
      <c r="I406" s="90"/>
      <c r="J406" s="94"/>
      <c r="K406" s="474">
        <v>600</v>
      </c>
      <c r="L406" s="482"/>
      <c r="M406" s="494"/>
      <c r="N406" s="3"/>
      <c r="O406" s="3"/>
    </row>
    <row r="407" spans="1:15" s="62" customFormat="1" ht="39" customHeight="1">
      <c r="A407" s="81"/>
      <c r="B407" s="59" t="s">
        <v>102</v>
      </c>
      <c r="C407" s="1"/>
      <c r="D407" s="16" t="s">
        <v>103</v>
      </c>
      <c r="E407" s="74">
        <f t="shared" si="163"/>
        <v>383.42</v>
      </c>
      <c r="F407" s="452">
        <f>F408</f>
        <v>0</v>
      </c>
      <c r="G407" s="142">
        <f aca="true" t="shared" si="168" ref="G407:M409">G408</f>
        <v>0</v>
      </c>
      <c r="H407" s="462">
        <f t="shared" si="168"/>
        <v>0</v>
      </c>
      <c r="I407" s="90">
        <f t="shared" si="168"/>
        <v>0</v>
      </c>
      <c r="J407" s="94">
        <f t="shared" si="168"/>
        <v>0</v>
      </c>
      <c r="K407" s="474">
        <f t="shared" si="168"/>
        <v>0</v>
      </c>
      <c r="L407" s="482">
        <f t="shared" si="168"/>
        <v>383.42</v>
      </c>
      <c r="M407" s="494">
        <f t="shared" si="168"/>
        <v>0</v>
      </c>
      <c r="N407" s="70"/>
      <c r="O407" s="3"/>
    </row>
    <row r="408" spans="1:15" s="62" customFormat="1" ht="12.75">
      <c r="A408" s="81"/>
      <c r="B408" s="59" t="s">
        <v>315</v>
      </c>
      <c r="C408" s="1"/>
      <c r="D408" s="16" t="s">
        <v>164</v>
      </c>
      <c r="E408" s="74">
        <f t="shared" si="163"/>
        <v>383.42</v>
      </c>
      <c r="F408" s="452">
        <f>F409</f>
        <v>0</v>
      </c>
      <c r="G408" s="142">
        <f t="shared" si="168"/>
        <v>0</v>
      </c>
      <c r="H408" s="462">
        <f t="shared" si="168"/>
        <v>0</v>
      </c>
      <c r="I408" s="90">
        <f t="shared" si="168"/>
        <v>0</v>
      </c>
      <c r="J408" s="94">
        <f t="shared" si="168"/>
        <v>0</v>
      </c>
      <c r="K408" s="474">
        <f t="shared" si="168"/>
        <v>0</v>
      </c>
      <c r="L408" s="482">
        <f t="shared" si="168"/>
        <v>383.42</v>
      </c>
      <c r="M408" s="494">
        <f t="shared" si="168"/>
        <v>0</v>
      </c>
      <c r="N408" s="70"/>
      <c r="O408" s="3"/>
    </row>
    <row r="409" spans="1:15" s="62" customFormat="1" ht="12.75">
      <c r="A409" s="81"/>
      <c r="B409" s="59"/>
      <c r="C409" s="1" t="s">
        <v>212</v>
      </c>
      <c r="D409" s="16" t="s">
        <v>45</v>
      </c>
      <c r="E409" s="74">
        <f t="shared" si="163"/>
        <v>383.42</v>
      </c>
      <c r="F409" s="452">
        <f>F410</f>
        <v>0</v>
      </c>
      <c r="G409" s="142">
        <f t="shared" si="168"/>
        <v>0</v>
      </c>
      <c r="H409" s="462">
        <f t="shared" si="168"/>
        <v>0</v>
      </c>
      <c r="I409" s="90">
        <f t="shared" si="168"/>
        <v>0</v>
      </c>
      <c r="J409" s="94">
        <f t="shared" si="168"/>
        <v>0</v>
      </c>
      <c r="K409" s="474">
        <f t="shared" si="168"/>
        <v>0</v>
      </c>
      <c r="L409" s="482">
        <f t="shared" si="168"/>
        <v>383.42</v>
      </c>
      <c r="M409" s="494">
        <f t="shared" si="168"/>
        <v>0</v>
      </c>
      <c r="N409" s="70"/>
      <c r="O409" s="3"/>
    </row>
    <row r="410" spans="1:15" s="62" customFormat="1" ht="25.5">
      <c r="A410" s="81"/>
      <c r="B410" s="59"/>
      <c r="C410" s="1" t="s">
        <v>125</v>
      </c>
      <c r="D410" s="16" t="s">
        <v>290</v>
      </c>
      <c r="E410" s="74">
        <f t="shared" si="163"/>
        <v>383.42</v>
      </c>
      <c r="F410" s="452"/>
      <c r="G410" s="142"/>
      <c r="H410" s="462"/>
      <c r="I410" s="90"/>
      <c r="J410" s="94"/>
      <c r="K410" s="474"/>
      <c r="L410" s="482">
        <v>383.42</v>
      </c>
      <c r="M410" s="494"/>
      <c r="N410" s="70"/>
      <c r="O410" s="3"/>
    </row>
    <row r="411" spans="1:15" s="62" customFormat="1" ht="12.75">
      <c r="A411" s="81"/>
      <c r="B411" s="59" t="s">
        <v>54</v>
      </c>
      <c r="C411" s="1"/>
      <c r="D411" s="16" t="s">
        <v>55</v>
      </c>
      <c r="E411" s="74">
        <f>E412</f>
        <v>14000</v>
      </c>
      <c r="F411" s="451">
        <f aca="true" t="shared" si="169" ref="F411:M415">F412</f>
        <v>0</v>
      </c>
      <c r="G411" s="141">
        <f t="shared" si="169"/>
        <v>14000</v>
      </c>
      <c r="H411" s="461">
        <f t="shared" si="169"/>
        <v>0</v>
      </c>
      <c r="I411" s="89">
        <f t="shared" si="169"/>
        <v>0</v>
      </c>
      <c r="J411" s="93">
        <f t="shared" si="169"/>
        <v>0</v>
      </c>
      <c r="K411" s="471">
        <f t="shared" si="169"/>
        <v>0</v>
      </c>
      <c r="L411" s="481">
        <f t="shared" si="169"/>
        <v>0</v>
      </c>
      <c r="M411" s="491">
        <f t="shared" si="169"/>
        <v>0</v>
      </c>
      <c r="N411" s="70"/>
      <c r="O411" s="3"/>
    </row>
    <row r="412" spans="1:15" s="62" customFormat="1" ht="12.75">
      <c r="A412" s="81"/>
      <c r="B412" s="59" t="s">
        <v>361</v>
      </c>
      <c r="C412" s="1"/>
      <c r="D412" s="16" t="s">
        <v>363</v>
      </c>
      <c r="E412" s="74">
        <f>E413</f>
        <v>14000</v>
      </c>
      <c r="F412" s="451">
        <f t="shared" si="169"/>
        <v>0</v>
      </c>
      <c r="G412" s="141">
        <f t="shared" si="169"/>
        <v>14000</v>
      </c>
      <c r="H412" s="461">
        <f t="shared" si="169"/>
        <v>0</v>
      </c>
      <c r="I412" s="89">
        <f t="shared" si="169"/>
        <v>0</v>
      </c>
      <c r="J412" s="93">
        <f t="shared" si="169"/>
        <v>0</v>
      </c>
      <c r="K412" s="471">
        <f t="shared" si="169"/>
        <v>0</v>
      </c>
      <c r="L412" s="481">
        <f t="shared" si="169"/>
        <v>0</v>
      </c>
      <c r="M412" s="491">
        <f t="shared" si="169"/>
        <v>0</v>
      </c>
      <c r="N412" s="70"/>
      <c r="O412" s="3"/>
    </row>
    <row r="413" spans="1:15" s="62" customFormat="1" ht="12.75">
      <c r="A413" s="81"/>
      <c r="B413" s="59" t="s">
        <v>362</v>
      </c>
      <c r="C413" s="1"/>
      <c r="D413" s="16" t="s">
        <v>364</v>
      </c>
      <c r="E413" s="74">
        <f>E414</f>
        <v>14000</v>
      </c>
      <c r="F413" s="74">
        <f t="shared" si="169"/>
        <v>0</v>
      </c>
      <c r="G413" s="74">
        <f t="shared" si="169"/>
        <v>14000</v>
      </c>
      <c r="H413" s="74">
        <f t="shared" si="169"/>
        <v>0</v>
      </c>
      <c r="I413" s="74">
        <f t="shared" si="169"/>
        <v>0</v>
      </c>
      <c r="J413" s="74">
        <f t="shared" si="169"/>
        <v>0</v>
      </c>
      <c r="K413" s="74">
        <f t="shared" si="169"/>
        <v>0</v>
      </c>
      <c r="L413" s="74">
        <f t="shared" si="169"/>
        <v>0</v>
      </c>
      <c r="M413" s="74">
        <f t="shared" si="169"/>
        <v>0</v>
      </c>
      <c r="N413" s="70"/>
      <c r="O413" s="3"/>
    </row>
    <row r="414" spans="1:15" s="62" customFormat="1" ht="12.75">
      <c r="A414" s="81"/>
      <c r="B414" s="59"/>
      <c r="C414" s="1"/>
      <c r="D414" s="16" t="s">
        <v>1198</v>
      </c>
      <c r="E414" s="74">
        <f>E415</f>
        <v>14000</v>
      </c>
      <c r="F414" s="74">
        <f t="shared" si="169"/>
        <v>0</v>
      </c>
      <c r="G414" s="74">
        <f t="shared" si="169"/>
        <v>14000</v>
      </c>
      <c r="H414" s="74">
        <f t="shared" si="169"/>
        <v>0</v>
      </c>
      <c r="I414" s="74">
        <f t="shared" si="169"/>
        <v>0</v>
      </c>
      <c r="J414" s="74">
        <f t="shared" si="169"/>
        <v>0</v>
      </c>
      <c r="K414" s="74">
        <f t="shared" si="169"/>
        <v>0</v>
      </c>
      <c r="L414" s="74">
        <f t="shared" si="169"/>
        <v>0</v>
      </c>
      <c r="M414" s="74">
        <f t="shared" si="169"/>
        <v>0</v>
      </c>
      <c r="N414" s="70"/>
      <c r="O414" s="3"/>
    </row>
    <row r="415" spans="1:15" s="62" customFormat="1" ht="12.75">
      <c r="A415" s="81"/>
      <c r="B415" s="59"/>
      <c r="C415" s="1" t="s">
        <v>210</v>
      </c>
      <c r="D415" s="16" t="s">
        <v>211</v>
      </c>
      <c r="E415" s="74">
        <f>E416</f>
        <v>14000</v>
      </c>
      <c r="F415" s="451">
        <f t="shared" si="169"/>
        <v>0</v>
      </c>
      <c r="G415" s="141">
        <f t="shared" si="169"/>
        <v>14000</v>
      </c>
      <c r="H415" s="461">
        <f t="shared" si="169"/>
        <v>0</v>
      </c>
      <c r="I415" s="89">
        <f t="shared" si="169"/>
        <v>0</v>
      </c>
      <c r="J415" s="93">
        <f t="shared" si="169"/>
        <v>0</v>
      </c>
      <c r="K415" s="471">
        <f t="shared" si="169"/>
        <v>0</v>
      </c>
      <c r="L415" s="481">
        <f t="shared" si="169"/>
        <v>0</v>
      </c>
      <c r="M415" s="491">
        <f t="shared" si="169"/>
        <v>0</v>
      </c>
      <c r="N415" s="70"/>
      <c r="O415" s="3"/>
    </row>
    <row r="416" spans="1:15" s="62" customFormat="1" ht="12.75">
      <c r="A416" s="81"/>
      <c r="B416" s="59"/>
      <c r="C416" s="1" t="s">
        <v>8</v>
      </c>
      <c r="D416" s="16" t="s">
        <v>216</v>
      </c>
      <c r="E416" s="74">
        <f>F416+G416+H416+I416+J416+K416+L416+M416</f>
        <v>14000</v>
      </c>
      <c r="F416" s="452"/>
      <c r="G416" s="142">
        <v>14000</v>
      </c>
      <c r="H416" s="462"/>
      <c r="I416" s="90"/>
      <c r="J416" s="94"/>
      <c r="K416" s="474"/>
      <c r="L416" s="482"/>
      <c r="M416" s="494"/>
      <c r="N416" s="70"/>
      <c r="O416" s="3"/>
    </row>
    <row r="417" spans="1:15" s="62" customFormat="1" ht="12.75">
      <c r="A417" s="548" t="s">
        <v>320</v>
      </c>
      <c r="B417" s="59"/>
      <c r="C417" s="1"/>
      <c r="D417" s="2" t="s">
        <v>339</v>
      </c>
      <c r="E417" s="74">
        <f>E418</f>
        <v>245.5</v>
      </c>
      <c r="F417" s="451">
        <f aca="true" t="shared" si="170" ref="F417:M421">F418</f>
        <v>245.5</v>
      </c>
      <c r="G417" s="141">
        <f t="shared" si="170"/>
        <v>0</v>
      </c>
      <c r="H417" s="461">
        <f t="shared" si="170"/>
        <v>0</v>
      </c>
      <c r="I417" s="89">
        <f t="shared" si="170"/>
        <v>0</v>
      </c>
      <c r="J417" s="93">
        <f t="shared" si="170"/>
        <v>0</v>
      </c>
      <c r="K417" s="471">
        <f t="shared" si="170"/>
        <v>0</v>
      </c>
      <c r="L417" s="481">
        <f t="shared" si="170"/>
        <v>0</v>
      </c>
      <c r="M417" s="491">
        <f t="shared" si="170"/>
        <v>0</v>
      </c>
      <c r="N417" s="70"/>
      <c r="O417" s="3"/>
    </row>
    <row r="418" spans="1:15" s="62" customFormat="1" ht="12.75">
      <c r="A418" s="549"/>
      <c r="B418" s="59" t="s">
        <v>336</v>
      </c>
      <c r="C418" s="1"/>
      <c r="D418" s="2" t="s">
        <v>340</v>
      </c>
      <c r="E418" s="74">
        <f>E419</f>
        <v>245.5</v>
      </c>
      <c r="F418" s="451">
        <f t="shared" si="170"/>
        <v>245.5</v>
      </c>
      <c r="G418" s="141">
        <f t="shared" si="170"/>
        <v>0</v>
      </c>
      <c r="H418" s="461">
        <f t="shared" si="170"/>
        <v>0</v>
      </c>
      <c r="I418" s="89">
        <f t="shared" si="170"/>
        <v>0</v>
      </c>
      <c r="J418" s="93">
        <f t="shared" si="170"/>
        <v>0</v>
      </c>
      <c r="K418" s="471">
        <f t="shared" si="170"/>
        <v>0</v>
      </c>
      <c r="L418" s="481">
        <f t="shared" si="170"/>
        <v>0</v>
      </c>
      <c r="M418" s="491">
        <f t="shared" si="170"/>
        <v>0</v>
      </c>
      <c r="N418" s="70"/>
      <c r="O418" s="3"/>
    </row>
    <row r="419" spans="1:15" s="62" customFormat="1" ht="12.75">
      <c r="A419" s="549"/>
      <c r="B419" s="59" t="s">
        <v>337</v>
      </c>
      <c r="C419" s="1"/>
      <c r="D419" s="2" t="s">
        <v>114</v>
      </c>
      <c r="E419" s="74">
        <f>E420</f>
        <v>245.5</v>
      </c>
      <c r="F419" s="451">
        <f t="shared" si="170"/>
        <v>245.5</v>
      </c>
      <c r="G419" s="141">
        <f t="shared" si="170"/>
        <v>0</v>
      </c>
      <c r="H419" s="461">
        <f t="shared" si="170"/>
        <v>0</v>
      </c>
      <c r="I419" s="89">
        <f t="shared" si="170"/>
        <v>0</v>
      </c>
      <c r="J419" s="93">
        <f t="shared" si="170"/>
        <v>0</v>
      </c>
      <c r="K419" s="471">
        <f t="shared" si="170"/>
        <v>0</v>
      </c>
      <c r="L419" s="481">
        <f t="shared" si="170"/>
        <v>0</v>
      </c>
      <c r="M419" s="491">
        <f t="shared" si="170"/>
        <v>0</v>
      </c>
      <c r="N419" s="70"/>
      <c r="O419" s="3"/>
    </row>
    <row r="420" spans="1:15" s="62" customFormat="1" ht="12.75">
      <c r="A420" s="549"/>
      <c r="B420" s="59" t="s">
        <v>338</v>
      </c>
      <c r="C420" s="1"/>
      <c r="D420" s="2" t="s">
        <v>115</v>
      </c>
      <c r="E420" s="74">
        <f>E421</f>
        <v>245.5</v>
      </c>
      <c r="F420" s="451">
        <f t="shared" si="170"/>
        <v>245.5</v>
      </c>
      <c r="G420" s="141">
        <f t="shared" si="170"/>
        <v>0</v>
      </c>
      <c r="H420" s="461">
        <f t="shared" si="170"/>
        <v>0</v>
      </c>
      <c r="I420" s="89">
        <f t="shared" si="170"/>
        <v>0</v>
      </c>
      <c r="J420" s="93">
        <f t="shared" si="170"/>
        <v>0</v>
      </c>
      <c r="K420" s="471">
        <f t="shared" si="170"/>
        <v>0</v>
      </c>
      <c r="L420" s="481">
        <f t="shared" si="170"/>
        <v>0</v>
      </c>
      <c r="M420" s="491">
        <f t="shared" si="170"/>
        <v>0</v>
      </c>
      <c r="N420" s="70"/>
      <c r="O420" s="3"/>
    </row>
    <row r="421" spans="1:15" s="62" customFormat="1" ht="12.75">
      <c r="A421" s="549"/>
      <c r="B421" s="59"/>
      <c r="C421" s="1" t="s">
        <v>210</v>
      </c>
      <c r="D421" s="16" t="s">
        <v>211</v>
      </c>
      <c r="E421" s="74">
        <f>E422</f>
        <v>245.5</v>
      </c>
      <c r="F421" s="451">
        <f t="shared" si="170"/>
        <v>245.5</v>
      </c>
      <c r="G421" s="141">
        <f t="shared" si="170"/>
        <v>0</v>
      </c>
      <c r="H421" s="461">
        <f t="shared" si="170"/>
        <v>0</v>
      </c>
      <c r="I421" s="89">
        <f t="shared" si="170"/>
        <v>0</v>
      </c>
      <c r="J421" s="93">
        <f t="shared" si="170"/>
        <v>0</v>
      </c>
      <c r="K421" s="471">
        <f t="shared" si="170"/>
        <v>0</v>
      </c>
      <c r="L421" s="481">
        <f t="shared" si="170"/>
        <v>0</v>
      </c>
      <c r="M421" s="491">
        <f t="shared" si="170"/>
        <v>0</v>
      </c>
      <c r="N421" s="70"/>
      <c r="O421" s="3"/>
    </row>
    <row r="422" spans="1:15" s="62" customFormat="1" ht="12.75">
      <c r="A422" s="549"/>
      <c r="B422" s="59"/>
      <c r="C422" s="1" t="s">
        <v>8</v>
      </c>
      <c r="D422" s="16" t="s">
        <v>216</v>
      </c>
      <c r="E422" s="74">
        <f>F422+G422+H422+I422+J422+K422+L422+M422</f>
        <v>245.5</v>
      </c>
      <c r="F422" s="452">
        <v>245.5</v>
      </c>
      <c r="G422" s="142"/>
      <c r="H422" s="462"/>
      <c r="I422" s="90"/>
      <c r="J422" s="94"/>
      <c r="K422" s="474"/>
      <c r="L422" s="482"/>
      <c r="M422" s="494"/>
      <c r="N422" s="70"/>
      <c r="O422" s="3"/>
    </row>
    <row r="423" spans="1:15" s="67" customFormat="1" ht="12.75">
      <c r="A423" s="10" t="s">
        <v>60</v>
      </c>
      <c r="B423" s="10"/>
      <c r="C423" s="10"/>
      <c r="D423" s="73" t="s">
        <v>265</v>
      </c>
      <c r="E423" s="425">
        <f aca="true" t="shared" si="171" ref="E423:M423">E424+E468+E474</f>
        <v>47668.30900000001</v>
      </c>
      <c r="F423" s="450">
        <f t="shared" si="171"/>
        <v>219.032</v>
      </c>
      <c r="G423" s="140">
        <f t="shared" si="171"/>
        <v>13450</v>
      </c>
      <c r="H423" s="460">
        <f t="shared" si="171"/>
        <v>-5585.113</v>
      </c>
      <c r="I423" s="88">
        <f t="shared" si="171"/>
        <v>13399.625000000004</v>
      </c>
      <c r="J423" s="92">
        <f t="shared" si="171"/>
        <v>0</v>
      </c>
      <c r="K423" s="470">
        <f t="shared" si="171"/>
        <v>7535</v>
      </c>
      <c r="L423" s="480">
        <f t="shared" si="171"/>
        <v>18649.765</v>
      </c>
      <c r="M423" s="490">
        <f t="shared" si="171"/>
        <v>0</v>
      </c>
      <c r="N423" s="4"/>
      <c r="O423" s="4"/>
    </row>
    <row r="424" spans="1:15" s="62" customFormat="1" ht="12.75">
      <c r="A424" s="1" t="s">
        <v>61</v>
      </c>
      <c r="B424" s="1"/>
      <c r="C424" s="1"/>
      <c r="D424" s="16" t="s">
        <v>62</v>
      </c>
      <c r="E424" s="74">
        <f aca="true" t="shared" si="172" ref="E424:M424">E425+E430+E441+E453+E458</f>
        <v>59041.952000000005</v>
      </c>
      <c r="F424" s="451">
        <f t="shared" si="172"/>
        <v>0</v>
      </c>
      <c r="G424" s="141">
        <f t="shared" si="172"/>
        <v>13450</v>
      </c>
      <c r="H424" s="461">
        <f t="shared" si="172"/>
        <v>-5585.113</v>
      </c>
      <c r="I424" s="89">
        <f t="shared" si="172"/>
        <v>24992.300000000003</v>
      </c>
      <c r="J424" s="93">
        <f t="shared" si="172"/>
        <v>0</v>
      </c>
      <c r="K424" s="471">
        <f t="shared" si="172"/>
        <v>7535</v>
      </c>
      <c r="L424" s="481">
        <f t="shared" si="172"/>
        <v>18649.765</v>
      </c>
      <c r="M424" s="491">
        <f t="shared" si="172"/>
        <v>0</v>
      </c>
      <c r="N424" s="3"/>
      <c r="O424" s="3"/>
    </row>
    <row r="425" spans="1:15" s="62" customFormat="1" ht="12.75">
      <c r="A425" s="1"/>
      <c r="B425" s="1" t="s">
        <v>82</v>
      </c>
      <c r="C425" s="1"/>
      <c r="D425" s="16" t="s">
        <v>264</v>
      </c>
      <c r="E425" s="74">
        <f>E426</f>
        <v>5202.178</v>
      </c>
      <c r="F425" s="451">
        <f aca="true" t="shared" si="173" ref="F425:M428">F426</f>
        <v>0</v>
      </c>
      <c r="G425" s="141">
        <f t="shared" si="173"/>
        <v>0</v>
      </c>
      <c r="H425" s="461">
        <f t="shared" si="173"/>
        <v>0</v>
      </c>
      <c r="I425" s="89">
        <f t="shared" si="173"/>
        <v>0</v>
      </c>
      <c r="J425" s="93">
        <f t="shared" si="173"/>
        <v>0</v>
      </c>
      <c r="K425" s="471">
        <f t="shared" si="173"/>
        <v>0</v>
      </c>
      <c r="L425" s="481">
        <f t="shared" si="173"/>
        <v>5202.178</v>
      </c>
      <c r="M425" s="491">
        <f t="shared" si="173"/>
        <v>0</v>
      </c>
      <c r="N425" s="3"/>
      <c r="O425" s="3"/>
    </row>
    <row r="426" spans="1:15" s="62" customFormat="1" ht="12.75">
      <c r="A426" s="1"/>
      <c r="B426" s="1" t="s">
        <v>1054</v>
      </c>
      <c r="C426" s="1"/>
      <c r="D426" s="16" t="s">
        <v>1056</v>
      </c>
      <c r="E426" s="74">
        <f>E427</f>
        <v>5202.178</v>
      </c>
      <c r="F426" s="451">
        <f t="shared" si="173"/>
        <v>0</v>
      </c>
      <c r="G426" s="141">
        <f t="shared" si="173"/>
        <v>0</v>
      </c>
      <c r="H426" s="461">
        <f t="shared" si="173"/>
        <v>0</v>
      </c>
      <c r="I426" s="89">
        <f t="shared" si="173"/>
        <v>0</v>
      </c>
      <c r="J426" s="93">
        <f t="shared" si="173"/>
        <v>0</v>
      </c>
      <c r="K426" s="471">
        <f t="shared" si="173"/>
        <v>0</v>
      </c>
      <c r="L426" s="481">
        <f t="shared" si="173"/>
        <v>5202.178</v>
      </c>
      <c r="M426" s="491">
        <f t="shared" si="173"/>
        <v>0</v>
      </c>
      <c r="N426" s="3"/>
      <c r="O426" s="3"/>
    </row>
    <row r="427" spans="1:15" s="62" customFormat="1" ht="38.25">
      <c r="A427" s="1"/>
      <c r="B427" s="1" t="s">
        <v>1055</v>
      </c>
      <c r="C427" s="1"/>
      <c r="D427" s="16" t="s">
        <v>1057</v>
      </c>
      <c r="E427" s="74">
        <f>E428</f>
        <v>5202.178</v>
      </c>
      <c r="F427" s="451">
        <f t="shared" si="173"/>
        <v>0</v>
      </c>
      <c r="G427" s="141">
        <f t="shared" si="173"/>
        <v>0</v>
      </c>
      <c r="H427" s="461">
        <f t="shared" si="173"/>
        <v>0</v>
      </c>
      <c r="I427" s="89">
        <f t="shared" si="173"/>
        <v>0</v>
      </c>
      <c r="J427" s="93">
        <f t="shared" si="173"/>
        <v>0</v>
      </c>
      <c r="K427" s="471">
        <f t="shared" si="173"/>
        <v>0</v>
      </c>
      <c r="L427" s="481">
        <f t="shared" si="173"/>
        <v>5202.178</v>
      </c>
      <c r="M427" s="491">
        <f t="shared" si="173"/>
        <v>0</v>
      </c>
      <c r="N427" s="3"/>
      <c r="O427" s="3"/>
    </row>
    <row r="428" spans="1:15" s="62" customFormat="1" ht="27.75" customHeight="1">
      <c r="A428" s="1"/>
      <c r="B428" s="1"/>
      <c r="C428" s="1" t="s">
        <v>232</v>
      </c>
      <c r="D428" s="48" t="s">
        <v>403</v>
      </c>
      <c r="E428" s="74">
        <f>E429</f>
        <v>5202.178</v>
      </c>
      <c r="F428" s="451">
        <f t="shared" si="173"/>
        <v>0</v>
      </c>
      <c r="G428" s="141">
        <f t="shared" si="173"/>
        <v>0</v>
      </c>
      <c r="H428" s="461">
        <f t="shared" si="173"/>
        <v>0</v>
      </c>
      <c r="I428" s="89">
        <f t="shared" si="173"/>
        <v>0</v>
      </c>
      <c r="J428" s="93">
        <f t="shared" si="173"/>
        <v>0</v>
      </c>
      <c r="K428" s="471">
        <f t="shared" si="173"/>
        <v>0</v>
      </c>
      <c r="L428" s="481">
        <f t="shared" si="173"/>
        <v>5202.178</v>
      </c>
      <c r="M428" s="491">
        <f t="shared" si="173"/>
        <v>0</v>
      </c>
      <c r="N428" s="3"/>
      <c r="O428" s="3"/>
    </row>
    <row r="429" spans="1:15" s="62" customFormat="1" ht="12.75">
      <c r="A429" s="1"/>
      <c r="B429" s="1"/>
      <c r="C429" s="1" t="s">
        <v>132</v>
      </c>
      <c r="D429" s="16" t="s">
        <v>251</v>
      </c>
      <c r="E429" s="74">
        <f>F429+G429+H429+I429+J429+K429+L429+M429</f>
        <v>5202.178</v>
      </c>
      <c r="F429" s="451"/>
      <c r="G429" s="141"/>
      <c r="H429" s="461"/>
      <c r="I429" s="89"/>
      <c r="J429" s="93"/>
      <c r="K429" s="471"/>
      <c r="L429" s="481">
        <v>5202.178</v>
      </c>
      <c r="M429" s="491"/>
      <c r="N429" s="3"/>
      <c r="O429" s="3"/>
    </row>
    <row r="430" spans="1:15" s="62" customFormat="1" ht="25.5">
      <c r="A430" s="1"/>
      <c r="B430" s="59" t="s">
        <v>323</v>
      </c>
      <c r="C430" s="1"/>
      <c r="D430" s="16" t="s">
        <v>329</v>
      </c>
      <c r="E430" s="74">
        <f>E431</f>
        <v>-5585.113</v>
      </c>
      <c r="F430" s="451">
        <f aca="true" t="shared" si="174" ref="F430:M432">F431</f>
        <v>0</v>
      </c>
      <c r="G430" s="141">
        <f t="shared" si="174"/>
        <v>0</v>
      </c>
      <c r="H430" s="461">
        <f t="shared" si="174"/>
        <v>-5585.113</v>
      </c>
      <c r="I430" s="89">
        <f t="shared" si="174"/>
        <v>0</v>
      </c>
      <c r="J430" s="93">
        <f t="shared" si="174"/>
        <v>0</v>
      </c>
      <c r="K430" s="471">
        <f t="shared" si="174"/>
        <v>0</v>
      </c>
      <c r="L430" s="481">
        <f t="shared" si="174"/>
        <v>0</v>
      </c>
      <c r="M430" s="491">
        <f t="shared" si="174"/>
        <v>0</v>
      </c>
      <c r="N430" s="3"/>
      <c r="O430" s="3"/>
    </row>
    <row r="431" spans="1:15" s="62" customFormat="1" ht="12.75">
      <c r="A431" s="1"/>
      <c r="B431" s="59" t="s">
        <v>324</v>
      </c>
      <c r="C431" s="1"/>
      <c r="D431" s="16" t="s">
        <v>330</v>
      </c>
      <c r="E431" s="74">
        <f>E432</f>
        <v>-5585.113</v>
      </c>
      <c r="F431" s="451">
        <f t="shared" si="174"/>
        <v>0</v>
      </c>
      <c r="G431" s="141">
        <f t="shared" si="174"/>
        <v>0</v>
      </c>
      <c r="H431" s="461">
        <f t="shared" si="174"/>
        <v>-5585.113</v>
      </c>
      <c r="I431" s="89">
        <f t="shared" si="174"/>
        <v>0</v>
      </c>
      <c r="J431" s="93">
        <f t="shared" si="174"/>
        <v>0</v>
      </c>
      <c r="K431" s="471">
        <f t="shared" si="174"/>
        <v>0</v>
      </c>
      <c r="L431" s="481">
        <f t="shared" si="174"/>
        <v>0</v>
      </c>
      <c r="M431" s="491">
        <f t="shared" si="174"/>
        <v>0</v>
      </c>
      <c r="N431" s="3"/>
      <c r="O431" s="3"/>
    </row>
    <row r="432" spans="1:15" s="62" customFormat="1" ht="12.75">
      <c r="A432" s="1"/>
      <c r="B432" s="59"/>
      <c r="C432" s="1" t="s">
        <v>212</v>
      </c>
      <c r="D432" s="16" t="s">
        <v>45</v>
      </c>
      <c r="E432" s="74">
        <f>E433</f>
        <v>-5585.113</v>
      </c>
      <c r="F432" s="74">
        <f t="shared" si="174"/>
        <v>0</v>
      </c>
      <c r="G432" s="74">
        <f t="shared" si="174"/>
        <v>0</v>
      </c>
      <c r="H432" s="74">
        <f t="shared" si="174"/>
        <v>-5585.113</v>
      </c>
      <c r="I432" s="74">
        <f t="shared" si="174"/>
        <v>0</v>
      </c>
      <c r="J432" s="74">
        <f t="shared" si="174"/>
        <v>0</v>
      </c>
      <c r="K432" s="74">
        <f t="shared" si="174"/>
        <v>0</v>
      </c>
      <c r="L432" s="74">
        <f t="shared" si="174"/>
        <v>0</v>
      </c>
      <c r="M432" s="74">
        <f t="shared" si="174"/>
        <v>0</v>
      </c>
      <c r="N432" s="3"/>
      <c r="O432" s="3"/>
    </row>
    <row r="433" spans="1:15" s="62" customFormat="1" ht="25.5">
      <c r="A433" s="1"/>
      <c r="B433" s="59"/>
      <c r="C433" s="1" t="s">
        <v>125</v>
      </c>
      <c r="D433" s="16" t="s">
        <v>372</v>
      </c>
      <c r="E433" s="74">
        <f>SUM(E434:E440)</f>
        <v>-5585.113</v>
      </c>
      <c r="F433" s="74">
        <f aca="true" t="shared" si="175" ref="F433:M433">SUM(F434:F440)</f>
        <v>0</v>
      </c>
      <c r="G433" s="74">
        <f t="shared" si="175"/>
        <v>0</v>
      </c>
      <c r="H433" s="74">
        <f t="shared" si="175"/>
        <v>-5585.113</v>
      </c>
      <c r="I433" s="74">
        <f t="shared" si="175"/>
        <v>0</v>
      </c>
      <c r="J433" s="74">
        <f t="shared" si="175"/>
        <v>0</v>
      </c>
      <c r="K433" s="74">
        <f t="shared" si="175"/>
        <v>0</v>
      </c>
      <c r="L433" s="74">
        <f t="shared" si="175"/>
        <v>0</v>
      </c>
      <c r="M433" s="74">
        <f t="shared" si="175"/>
        <v>0</v>
      </c>
      <c r="N433" s="3"/>
      <c r="O433" s="3"/>
    </row>
    <row r="434" spans="1:15" s="62" customFormat="1" ht="12.75">
      <c r="A434" s="1"/>
      <c r="B434" s="59" t="s">
        <v>1199</v>
      </c>
      <c r="C434" s="1"/>
      <c r="D434" s="16" t="s">
        <v>1200</v>
      </c>
      <c r="E434" s="74">
        <f>F434+G434+H434+I434+J434+K434+L434+M434</f>
        <v>-5450</v>
      </c>
      <c r="F434" s="61"/>
      <c r="G434" s="61"/>
      <c r="H434" s="61">
        <v>-5450</v>
      </c>
      <c r="I434" s="61"/>
      <c r="J434" s="61"/>
      <c r="K434" s="61"/>
      <c r="L434" s="61"/>
      <c r="M434" s="61"/>
      <c r="N434" s="3"/>
      <c r="O434" s="3"/>
    </row>
    <row r="435" spans="1:15" s="62" customFormat="1" ht="12.75">
      <c r="A435" s="1"/>
      <c r="B435" s="59" t="s">
        <v>392</v>
      </c>
      <c r="C435" s="1"/>
      <c r="D435" s="16" t="s">
        <v>396</v>
      </c>
      <c r="E435" s="74">
        <f aca="true" t="shared" si="176" ref="E435:E440">F435+G435+H435+I435+J435+K435+L435+M435</f>
        <v>-278.371</v>
      </c>
      <c r="F435" s="451"/>
      <c r="G435" s="141"/>
      <c r="H435" s="461">
        <v>-278.371</v>
      </c>
      <c r="I435" s="89"/>
      <c r="J435" s="93"/>
      <c r="K435" s="471"/>
      <c r="L435" s="481"/>
      <c r="M435" s="491"/>
      <c r="N435" s="3"/>
      <c r="O435" s="3"/>
    </row>
    <row r="436" spans="1:15" s="62" customFormat="1" ht="12.75">
      <c r="A436" s="1"/>
      <c r="B436" s="59" t="s">
        <v>393</v>
      </c>
      <c r="C436" s="1"/>
      <c r="D436" s="16" t="s">
        <v>397</v>
      </c>
      <c r="E436" s="74">
        <f t="shared" si="176"/>
        <v>-278.371</v>
      </c>
      <c r="F436" s="451"/>
      <c r="G436" s="141"/>
      <c r="H436" s="461">
        <v>-278.371</v>
      </c>
      <c r="I436" s="89"/>
      <c r="J436" s="93"/>
      <c r="K436" s="471"/>
      <c r="L436" s="481"/>
      <c r="M436" s="491"/>
      <c r="N436" s="3"/>
      <c r="O436" s="3"/>
    </row>
    <row r="437" spans="1:15" s="62" customFormat="1" ht="12.75">
      <c r="A437" s="1"/>
      <c r="B437" s="59" t="s">
        <v>394</v>
      </c>
      <c r="C437" s="1"/>
      <c r="D437" s="16" t="s">
        <v>398</v>
      </c>
      <c r="E437" s="74">
        <f t="shared" si="176"/>
        <v>700</v>
      </c>
      <c r="F437" s="451"/>
      <c r="G437" s="141"/>
      <c r="H437" s="461">
        <v>700</v>
      </c>
      <c r="I437" s="89"/>
      <c r="J437" s="93"/>
      <c r="K437" s="471"/>
      <c r="L437" s="481"/>
      <c r="M437" s="491"/>
      <c r="N437" s="3"/>
      <c r="O437" s="3"/>
    </row>
    <row r="438" spans="1:15" s="62" customFormat="1" ht="12.75">
      <c r="A438" s="1"/>
      <c r="B438" s="1" t="s">
        <v>395</v>
      </c>
      <c r="C438" s="1"/>
      <c r="D438" s="16" t="s">
        <v>399</v>
      </c>
      <c r="E438" s="74">
        <f t="shared" si="176"/>
        <v>-278.371</v>
      </c>
      <c r="F438" s="451"/>
      <c r="G438" s="141"/>
      <c r="H438" s="461">
        <v>-278.371</v>
      </c>
      <c r="I438" s="89"/>
      <c r="J438" s="93"/>
      <c r="K438" s="471"/>
      <c r="L438" s="481"/>
      <c r="M438" s="491"/>
      <c r="N438" s="3"/>
      <c r="O438" s="3"/>
    </row>
    <row r="439" spans="1:15" s="62" customFormat="1" ht="12.75">
      <c r="A439" s="1"/>
      <c r="B439" s="1" t="s">
        <v>1164</v>
      </c>
      <c r="C439" s="1"/>
      <c r="D439" s="16" t="s">
        <v>867</v>
      </c>
      <c r="E439" s="74">
        <f t="shared" si="176"/>
        <v>-1200</v>
      </c>
      <c r="F439" s="451"/>
      <c r="G439" s="141"/>
      <c r="H439" s="461"/>
      <c r="I439" s="89"/>
      <c r="J439" s="93"/>
      <c r="K439" s="471"/>
      <c r="L439" s="481"/>
      <c r="M439" s="491">
        <v>-1200</v>
      </c>
      <c r="N439" s="3"/>
      <c r="O439" s="3"/>
    </row>
    <row r="440" spans="1:15" s="62" customFormat="1" ht="12.75">
      <c r="A440" s="1"/>
      <c r="B440" s="1" t="s">
        <v>1164</v>
      </c>
      <c r="C440" s="1"/>
      <c r="D440" s="16" t="s">
        <v>1154</v>
      </c>
      <c r="E440" s="74">
        <f t="shared" si="176"/>
        <v>1200</v>
      </c>
      <c r="F440" s="451"/>
      <c r="G440" s="141"/>
      <c r="H440" s="461"/>
      <c r="I440" s="89"/>
      <c r="J440" s="93"/>
      <c r="K440" s="471"/>
      <c r="L440" s="481"/>
      <c r="M440" s="491">
        <v>1200</v>
      </c>
      <c r="N440" s="3"/>
      <c r="O440" s="3"/>
    </row>
    <row r="441" spans="1:15" s="62" customFormat="1" ht="12.75">
      <c r="A441" s="1"/>
      <c r="B441" s="1" t="s">
        <v>37</v>
      </c>
      <c r="C441" s="1"/>
      <c r="D441" s="16" t="s">
        <v>38</v>
      </c>
      <c r="E441" s="74">
        <f>F441+G441+H441+I441+J441+K441+L441+M441</f>
        <v>19228.201</v>
      </c>
      <c r="F441" s="452">
        <f aca="true" t="shared" si="177" ref="F441:M441">F442+F449</f>
        <v>0</v>
      </c>
      <c r="G441" s="142">
        <f t="shared" si="177"/>
        <v>0</v>
      </c>
      <c r="H441" s="462">
        <f t="shared" si="177"/>
        <v>0</v>
      </c>
      <c r="I441" s="90">
        <f t="shared" si="177"/>
        <v>8778.2</v>
      </c>
      <c r="J441" s="94">
        <f t="shared" si="177"/>
        <v>0</v>
      </c>
      <c r="K441" s="474">
        <f t="shared" si="177"/>
        <v>7535</v>
      </c>
      <c r="L441" s="482">
        <f t="shared" si="177"/>
        <v>2915.001</v>
      </c>
      <c r="M441" s="494">
        <f t="shared" si="177"/>
        <v>0</v>
      </c>
      <c r="N441" s="3"/>
      <c r="O441" s="3"/>
    </row>
    <row r="442" spans="1:15" s="62" customFormat="1" ht="25.5">
      <c r="A442" s="81"/>
      <c r="B442" s="1" t="s">
        <v>209</v>
      </c>
      <c r="C442" s="1"/>
      <c r="D442" s="49" t="s">
        <v>3</v>
      </c>
      <c r="E442" s="74">
        <f aca="true" t="shared" si="178" ref="E442:M442">E443+E446</f>
        <v>10450.001</v>
      </c>
      <c r="F442" s="74">
        <f t="shared" si="178"/>
        <v>0</v>
      </c>
      <c r="G442" s="74">
        <f t="shared" si="178"/>
        <v>0</v>
      </c>
      <c r="H442" s="74">
        <f t="shared" si="178"/>
        <v>0</v>
      </c>
      <c r="I442" s="74">
        <f t="shared" si="178"/>
        <v>0</v>
      </c>
      <c r="J442" s="74">
        <f t="shared" si="178"/>
        <v>0</v>
      </c>
      <c r="K442" s="74">
        <f t="shared" si="178"/>
        <v>7535</v>
      </c>
      <c r="L442" s="74">
        <f t="shared" si="178"/>
        <v>2915.001</v>
      </c>
      <c r="M442" s="74">
        <f t="shared" si="178"/>
        <v>0</v>
      </c>
      <c r="N442" s="3"/>
      <c r="O442" s="3"/>
    </row>
    <row r="443" spans="1:15" s="62" customFormat="1" ht="12.75">
      <c r="A443" s="81"/>
      <c r="B443" s="59"/>
      <c r="C443" s="1"/>
      <c r="D443" s="49" t="s">
        <v>1200</v>
      </c>
      <c r="E443" s="74">
        <f>E444</f>
        <v>5450</v>
      </c>
      <c r="F443" s="74">
        <f aca="true" t="shared" si="179" ref="F443:M443">F444</f>
        <v>0</v>
      </c>
      <c r="G443" s="74">
        <f t="shared" si="179"/>
        <v>0</v>
      </c>
      <c r="H443" s="74">
        <f t="shared" si="179"/>
        <v>0</v>
      </c>
      <c r="I443" s="74">
        <f t="shared" si="179"/>
        <v>0</v>
      </c>
      <c r="J443" s="74">
        <f t="shared" si="179"/>
        <v>0</v>
      </c>
      <c r="K443" s="74">
        <f t="shared" si="179"/>
        <v>5450</v>
      </c>
      <c r="L443" s="74">
        <f t="shared" si="179"/>
        <v>0</v>
      </c>
      <c r="M443" s="74">
        <f t="shared" si="179"/>
        <v>0</v>
      </c>
      <c r="N443" s="3"/>
      <c r="O443" s="3"/>
    </row>
    <row r="444" spans="1:15" s="62" customFormat="1" ht="12.75">
      <c r="A444" s="81"/>
      <c r="B444" s="59"/>
      <c r="C444" s="1" t="s">
        <v>326</v>
      </c>
      <c r="D444" s="16" t="s">
        <v>45</v>
      </c>
      <c r="E444" s="74">
        <f>E445</f>
        <v>5450</v>
      </c>
      <c r="F444" s="451">
        <f aca="true" t="shared" si="180" ref="F444:M444">F445</f>
        <v>0</v>
      </c>
      <c r="G444" s="141">
        <f t="shared" si="180"/>
        <v>0</v>
      </c>
      <c r="H444" s="461">
        <f t="shared" si="180"/>
        <v>0</v>
      </c>
      <c r="I444" s="89">
        <f t="shared" si="180"/>
        <v>0</v>
      </c>
      <c r="J444" s="93">
        <f t="shared" si="180"/>
        <v>0</v>
      </c>
      <c r="K444" s="471">
        <f t="shared" si="180"/>
        <v>5450</v>
      </c>
      <c r="L444" s="481">
        <f t="shared" si="180"/>
        <v>0</v>
      </c>
      <c r="M444" s="491">
        <f t="shared" si="180"/>
        <v>0</v>
      </c>
      <c r="N444" s="3"/>
      <c r="O444" s="3"/>
    </row>
    <row r="445" spans="1:15" s="62" customFormat="1" ht="25.5">
      <c r="A445" s="81"/>
      <c r="B445" s="59"/>
      <c r="C445" s="1" t="s">
        <v>125</v>
      </c>
      <c r="D445" s="16" t="s">
        <v>290</v>
      </c>
      <c r="E445" s="74">
        <f>F445+G445+H445+I445+J445+K445+L445+M445</f>
        <v>5450</v>
      </c>
      <c r="F445" s="451"/>
      <c r="G445" s="141"/>
      <c r="H445" s="461"/>
      <c r="I445" s="89"/>
      <c r="J445" s="93"/>
      <c r="K445" s="471">
        <v>5450</v>
      </c>
      <c r="L445" s="481"/>
      <c r="M445" s="491"/>
      <c r="N445" s="3"/>
      <c r="O445" s="3"/>
    </row>
    <row r="446" spans="1:15" s="62" customFormat="1" ht="12.75">
      <c r="A446" s="81"/>
      <c r="B446" s="59" t="s">
        <v>288</v>
      </c>
      <c r="C446" s="1"/>
      <c r="D446" s="16" t="s">
        <v>166</v>
      </c>
      <c r="E446" s="74">
        <f aca="true" t="shared" si="181" ref="E446:E452">F446+G446+H446+I446+J446+K446+L446+M446</f>
        <v>5000.001</v>
      </c>
      <c r="F446" s="452">
        <f>F447</f>
        <v>0</v>
      </c>
      <c r="G446" s="142">
        <f aca="true" t="shared" si="182" ref="G446:M447">G447</f>
        <v>0</v>
      </c>
      <c r="H446" s="462">
        <f t="shared" si="182"/>
        <v>0</v>
      </c>
      <c r="I446" s="90">
        <f t="shared" si="182"/>
        <v>0</v>
      </c>
      <c r="J446" s="94">
        <f t="shared" si="182"/>
        <v>0</v>
      </c>
      <c r="K446" s="474">
        <f t="shared" si="182"/>
        <v>2085</v>
      </c>
      <c r="L446" s="482">
        <f t="shared" si="182"/>
        <v>2915.001</v>
      </c>
      <c r="M446" s="494">
        <f t="shared" si="182"/>
        <v>0</v>
      </c>
      <c r="N446" s="3"/>
      <c r="O446" s="3"/>
    </row>
    <row r="447" spans="1:15" s="62" customFormat="1" ht="27" customHeight="1">
      <c r="A447" s="81"/>
      <c r="B447" s="59"/>
      <c r="C447" s="1" t="s">
        <v>232</v>
      </c>
      <c r="D447" s="48" t="s">
        <v>403</v>
      </c>
      <c r="E447" s="74">
        <f t="shared" si="181"/>
        <v>5000.001</v>
      </c>
      <c r="F447" s="452">
        <f>F448</f>
        <v>0</v>
      </c>
      <c r="G447" s="142">
        <f t="shared" si="182"/>
        <v>0</v>
      </c>
      <c r="H447" s="462">
        <f t="shared" si="182"/>
        <v>0</v>
      </c>
      <c r="I447" s="90">
        <f t="shared" si="182"/>
        <v>0</v>
      </c>
      <c r="J447" s="94">
        <f t="shared" si="182"/>
        <v>0</v>
      </c>
      <c r="K447" s="474">
        <f t="shared" si="182"/>
        <v>2085</v>
      </c>
      <c r="L447" s="482">
        <f t="shared" si="182"/>
        <v>2915.001</v>
      </c>
      <c r="M447" s="494">
        <f t="shared" si="182"/>
        <v>0</v>
      </c>
      <c r="N447" s="3"/>
      <c r="O447" s="3"/>
    </row>
    <row r="448" spans="1:15" s="62" customFormat="1" ht="12.75">
      <c r="A448" s="81"/>
      <c r="B448" s="59"/>
      <c r="C448" s="1" t="s">
        <v>132</v>
      </c>
      <c r="D448" s="16" t="s">
        <v>251</v>
      </c>
      <c r="E448" s="74">
        <f t="shared" si="181"/>
        <v>5000.001</v>
      </c>
      <c r="F448" s="452"/>
      <c r="G448" s="142"/>
      <c r="H448" s="462"/>
      <c r="I448" s="90"/>
      <c r="J448" s="94"/>
      <c r="K448" s="474">
        <v>2085</v>
      </c>
      <c r="L448" s="482">
        <v>2915.001</v>
      </c>
      <c r="M448" s="494"/>
      <c r="N448" s="3"/>
      <c r="O448" s="3"/>
    </row>
    <row r="449" spans="1:15" s="62" customFormat="1" ht="25.5">
      <c r="A449" s="81"/>
      <c r="B449" s="59" t="s">
        <v>78</v>
      </c>
      <c r="C449" s="1"/>
      <c r="D449" s="16" t="s">
        <v>79</v>
      </c>
      <c r="E449" s="74">
        <f>E450</f>
        <v>8778.2</v>
      </c>
      <c r="F449" s="451">
        <f aca="true" t="shared" si="183" ref="F449:M451">F450</f>
        <v>0</v>
      </c>
      <c r="G449" s="141">
        <f t="shared" si="183"/>
        <v>0</v>
      </c>
      <c r="H449" s="461">
        <f t="shared" si="183"/>
        <v>0</v>
      </c>
      <c r="I449" s="89">
        <f t="shared" si="183"/>
        <v>8778.2</v>
      </c>
      <c r="J449" s="93">
        <f t="shared" si="183"/>
        <v>0</v>
      </c>
      <c r="K449" s="471">
        <f t="shared" si="183"/>
        <v>0</v>
      </c>
      <c r="L449" s="481">
        <f t="shared" si="183"/>
        <v>0</v>
      </c>
      <c r="M449" s="491">
        <f t="shared" si="183"/>
        <v>0</v>
      </c>
      <c r="N449" s="3"/>
      <c r="O449" s="3"/>
    </row>
    <row r="450" spans="1:15" s="62" customFormat="1" ht="12.75">
      <c r="A450" s="81"/>
      <c r="B450" s="1" t="s">
        <v>258</v>
      </c>
      <c r="C450" s="1"/>
      <c r="D450" s="16" t="s">
        <v>142</v>
      </c>
      <c r="E450" s="74">
        <f t="shared" si="181"/>
        <v>8778.2</v>
      </c>
      <c r="F450" s="452">
        <f>F451</f>
        <v>0</v>
      </c>
      <c r="G450" s="142">
        <f t="shared" si="183"/>
        <v>0</v>
      </c>
      <c r="H450" s="462">
        <f t="shared" si="183"/>
        <v>0</v>
      </c>
      <c r="I450" s="90">
        <f t="shared" si="183"/>
        <v>8778.2</v>
      </c>
      <c r="J450" s="94">
        <f t="shared" si="183"/>
        <v>0</v>
      </c>
      <c r="K450" s="474">
        <f t="shared" si="183"/>
        <v>0</v>
      </c>
      <c r="L450" s="482">
        <f t="shared" si="183"/>
        <v>0</v>
      </c>
      <c r="M450" s="494">
        <f t="shared" si="183"/>
        <v>0</v>
      </c>
      <c r="N450" s="3"/>
      <c r="O450" s="3"/>
    </row>
    <row r="451" spans="1:15" s="62" customFormat="1" ht="27" customHeight="1">
      <c r="A451" s="81"/>
      <c r="B451" s="1"/>
      <c r="C451" s="1" t="s">
        <v>232</v>
      </c>
      <c r="D451" s="48" t="s">
        <v>403</v>
      </c>
      <c r="E451" s="74">
        <f t="shared" si="181"/>
        <v>8778.2</v>
      </c>
      <c r="F451" s="452">
        <f>F452</f>
        <v>0</v>
      </c>
      <c r="G451" s="142">
        <f t="shared" si="183"/>
        <v>0</v>
      </c>
      <c r="H451" s="462">
        <f t="shared" si="183"/>
        <v>0</v>
      </c>
      <c r="I451" s="90">
        <f t="shared" si="183"/>
        <v>8778.2</v>
      </c>
      <c r="J451" s="94">
        <f t="shared" si="183"/>
        <v>0</v>
      </c>
      <c r="K451" s="474">
        <f t="shared" si="183"/>
        <v>0</v>
      </c>
      <c r="L451" s="482">
        <f t="shared" si="183"/>
        <v>0</v>
      </c>
      <c r="M451" s="494">
        <f t="shared" si="183"/>
        <v>0</v>
      </c>
      <c r="N451" s="3"/>
      <c r="O451" s="3"/>
    </row>
    <row r="452" spans="1:15" s="62" customFormat="1" ht="12.75">
      <c r="A452" s="81"/>
      <c r="B452" s="1"/>
      <c r="C452" s="1" t="s">
        <v>132</v>
      </c>
      <c r="D452" s="16" t="s">
        <v>251</v>
      </c>
      <c r="E452" s="74">
        <f t="shared" si="181"/>
        <v>8778.2</v>
      </c>
      <c r="F452" s="452"/>
      <c r="G452" s="142"/>
      <c r="H452" s="462"/>
      <c r="I452" s="90">
        <f>-2814.5+11592.7</f>
        <v>8778.2</v>
      </c>
      <c r="J452" s="94"/>
      <c r="K452" s="474"/>
      <c r="L452" s="482"/>
      <c r="M452" s="494"/>
      <c r="N452" s="3"/>
      <c r="O452" s="3"/>
    </row>
    <row r="453" spans="1:15" s="62" customFormat="1" ht="12.75">
      <c r="A453" s="81"/>
      <c r="B453" s="1" t="s">
        <v>105</v>
      </c>
      <c r="C453" s="1"/>
      <c r="D453" s="16" t="s">
        <v>106</v>
      </c>
      <c r="E453" s="74">
        <f>E454</f>
        <v>26746.686</v>
      </c>
      <c r="F453" s="451">
        <f aca="true" t="shared" si="184" ref="F453:M456">F454</f>
        <v>0</v>
      </c>
      <c r="G453" s="141">
        <f t="shared" si="184"/>
        <v>0</v>
      </c>
      <c r="H453" s="461">
        <f t="shared" si="184"/>
        <v>0</v>
      </c>
      <c r="I453" s="89">
        <f t="shared" si="184"/>
        <v>16214.1</v>
      </c>
      <c r="J453" s="93">
        <f t="shared" si="184"/>
        <v>0</v>
      </c>
      <c r="K453" s="471">
        <f t="shared" si="184"/>
        <v>0</v>
      </c>
      <c r="L453" s="481">
        <f t="shared" si="184"/>
        <v>10532.586</v>
      </c>
      <c r="M453" s="491">
        <f t="shared" si="184"/>
        <v>0</v>
      </c>
      <c r="N453" s="3"/>
      <c r="O453" s="3"/>
    </row>
    <row r="454" spans="1:15" s="62" customFormat="1" ht="38.25">
      <c r="A454" s="81"/>
      <c r="B454" s="1" t="s">
        <v>1058</v>
      </c>
      <c r="C454" s="1"/>
      <c r="D454" s="16" t="s">
        <v>1060</v>
      </c>
      <c r="E454" s="74">
        <f>E455</f>
        <v>26746.686</v>
      </c>
      <c r="F454" s="451">
        <f t="shared" si="184"/>
        <v>0</v>
      </c>
      <c r="G454" s="141">
        <f t="shared" si="184"/>
        <v>0</v>
      </c>
      <c r="H454" s="461">
        <f t="shared" si="184"/>
        <v>0</v>
      </c>
      <c r="I454" s="89">
        <f t="shared" si="184"/>
        <v>16214.1</v>
      </c>
      <c r="J454" s="93">
        <f t="shared" si="184"/>
        <v>0</v>
      </c>
      <c r="K454" s="471">
        <f t="shared" si="184"/>
        <v>0</v>
      </c>
      <c r="L454" s="481">
        <f t="shared" si="184"/>
        <v>10532.586</v>
      </c>
      <c r="M454" s="491">
        <f t="shared" si="184"/>
        <v>0</v>
      </c>
      <c r="N454" s="3"/>
      <c r="O454" s="3"/>
    </row>
    <row r="455" spans="1:15" s="62" customFormat="1" ht="12.75">
      <c r="A455" s="81"/>
      <c r="B455" s="1" t="s">
        <v>1059</v>
      </c>
      <c r="C455" s="1"/>
      <c r="D455" s="16" t="s">
        <v>1061</v>
      </c>
      <c r="E455" s="74">
        <f>E456</f>
        <v>26746.686</v>
      </c>
      <c r="F455" s="451">
        <f t="shared" si="184"/>
        <v>0</v>
      </c>
      <c r="G455" s="141">
        <f t="shared" si="184"/>
        <v>0</v>
      </c>
      <c r="H455" s="461">
        <f t="shared" si="184"/>
        <v>0</v>
      </c>
      <c r="I455" s="89">
        <f t="shared" si="184"/>
        <v>16214.1</v>
      </c>
      <c r="J455" s="93">
        <f t="shared" si="184"/>
        <v>0</v>
      </c>
      <c r="K455" s="471">
        <f t="shared" si="184"/>
        <v>0</v>
      </c>
      <c r="L455" s="481">
        <f t="shared" si="184"/>
        <v>10532.586</v>
      </c>
      <c r="M455" s="491">
        <f t="shared" si="184"/>
        <v>0</v>
      </c>
      <c r="N455" s="3"/>
      <c r="O455" s="3"/>
    </row>
    <row r="456" spans="1:15" s="62" customFormat="1" ht="26.25" customHeight="1">
      <c r="A456" s="81"/>
      <c r="B456" s="1"/>
      <c r="C456" s="1" t="s">
        <v>232</v>
      </c>
      <c r="D456" s="48" t="s">
        <v>403</v>
      </c>
      <c r="E456" s="74">
        <f>E457</f>
        <v>26746.686</v>
      </c>
      <c r="F456" s="451">
        <f t="shared" si="184"/>
        <v>0</v>
      </c>
      <c r="G456" s="141">
        <f t="shared" si="184"/>
        <v>0</v>
      </c>
      <c r="H456" s="461">
        <f t="shared" si="184"/>
        <v>0</v>
      </c>
      <c r="I456" s="89">
        <f t="shared" si="184"/>
        <v>16214.1</v>
      </c>
      <c r="J456" s="93">
        <f t="shared" si="184"/>
        <v>0</v>
      </c>
      <c r="K456" s="471">
        <f t="shared" si="184"/>
        <v>0</v>
      </c>
      <c r="L456" s="481">
        <f t="shared" si="184"/>
        <v>10532.586</v>
      </c>
      <c r="M456" s="491">
        <f t="shared" si="184"/>
        <v>0</v>
      </c>
      <c r="N456" s="3"/>
      <c r="O456" s="3"/>
    </row>
    <row r="457" spans="1:15" s="62" customFormat="1" ht="12.75">
      <c r="A457" s="81"/>
      <c r="B457" s="1"/>
      <c r="C457" s="1" t="s">
        <v>132</v>
      </c>
      <c r="D457" s="16" t="s">
        <v>251</v>
      </c>
      <c r="E457" s="74">
        <f>F457+G457+H457+I457+J457+K457+L457+M457</f>
        <v>26746.686</v>
      </c>
      <c r="F457" s="452"/>
      <c r="G457" s="142"/>
      <c r="H457" s="462"/>
      <c r="I457" s="90">
        <v>16214.1</v>
      </c>
      <c r="J457" s="94"/>
      <c r="K457" s="474"/>
      <c r="L457" s="482">
        <v>10532.586</v>
      </c>
      <c r="M457" s="494"/>
      <c r="N457" s="3"/>
      <c r="O457" s="3"/>
    </row>
    <row r="458" spans="1:15" s="62" customFormat="1" ht="12.75">
      <c r="A458" s="81"/>
      <c r="B458" s="1" t="s">
        <v>54</v>
      </c>
      <c r="C458" s="1"/>
      <c r="D458" s="16" t="s">
        <v>55</v>
      </c>
      <c r="E458" s="74">
        <f aca="true" t="shared" si="185" ref="E458:M458">E459</f>
        <v>13450</v>
      </c>
      <c r="F458" s="451">
        <f t="shared" si="185"/>
        <v>0</v>
      </c>
      <c r="G458" s="141">
        <f t="shared" si="185"/>
        <v>13450</v>
      </c>
      <c r="H458" s="461">
        <f t="shared" si="185"/>
        <v>0</v>
      </c>
      <c r="I458" s="89">
        <f t="shared" si="185"/>
        <v>0</v>
      </c>
      <c r="J458" s="93">
        <f t="shared" si="185"/>
        <v>0</v>
      </c>
      <c r="K458" s="471">
        <f t="shared" si="185"/>
        <v>0</v>
      </c>
      <c r="L458" s="481">
        <f t="shared" si="185"/>
        <v>0</v>
      </c>
      <c r="M458" s="491">
        <f t="shared" si="185"/>
        <v>0</v>
      </c>
      <c r="N458" s="3"/>
      <c r="O458" s="3"/>
    </row>
    <row r="459" spans="1:15" s="62" customFormat="1" ht="12.75">
      <c r="A459" s="81"/>
      <c r="B459" s="1" t="s">
        <v>56</v>
      </c>
      <c r="C459" s="1"/>
      <c r="D459" s="16" t="s">
        <v>57</v>
      </c>
      <c r="E459" s="74">
        <f>E460+E465</f>
        <v>13450</v>
      </c>
      <c r="F459" s="451">
        <f aca="true" t="shared" si="186" ref="F459:M459">F460+F465</f>
        <v>0</v>
      </c>
      <c r="G459" s="141">
        <f t="shared" si="186"/>
        <v>13450</v>
      </c>
      <c r="H459" s="461">
        <f t="shared" si="186"/>
        <v>0</v>
      </c>
      <c r="I459" s="89">
        <f t="shared" si="186"/>
        <v>0</v>
      </c>
      <c r="J459" s="93">
        <f t="shared" si="186"/>
        <v>0</v>
      </c>
      <c r="K459" s="471">
        <f t="shared" si="186"/>
        <v>0</v>
      </c>
      <c r="L459" s="481">
        <f t="shared" si="186"/>
        <v>0</v>
      </c>
      <c r="M459" s="491">
        <f t="shared" si="186"/>
        <v>0</v>
      </c>
      <c r="N459" s="3"/>
      <c r="O459" s="3"/>
    </row>
    <row r="460" spans="1:15" s="62" customFormat="1" ht="12.75">
      <c r="A460" s="81"/>
      <c r="B460" s="1" t="s">
        <v>354</v>
      </c>
      <c r="C460" s="1"/>
      <c r="D460" s="16" t="s">
        <v>355</v>
      </c>
      <c r="E460" s="74">
        <f>E461+E463</f>
        <v>13250</v>
      </c>
      <c r="F460" s="451">
        <f aca="true" t="shared" si="187" ref="F460:M460">F461+F463</f>
        <v>0</v>
      </c>
      <c r="G460" s="141">
        <f t="shared" si="187"/>
        <v>13250</v>
      </c>
      <c r="H460" s="461">
        <f t="shared" si="187"/>
        <v>0</v>
      </c>
      <c r="I460" s="89">
        <f t="shared" si="187"/>
        <v>0</v>
      </c>
      <c r="J460" s="93">
        <f t="shared" si="187"/>
        <v>0</v>
      </c>
      <c r="K460" s="471">
        <f t="shared" si="187"/>
        <v>0</v>
      </c>
      <c r="L460" s="481">
        <f t="shared" si="187"/>
        <v>0</v>
      </c>
      <c r="M460" s="491">
        <f t="shared" si="187"/>
        <v>0</v>
      </c>
      <c r="N460" s="3"/>
      <c r="O460" s="3"/>
    </row>
    <row r="461" spans="1:15" s="62" customFormat="1" ht="12.75">
      <c r="A461" s="81"/>
      <c r="B461" s="1"/>
      <c r="C461" s="1" t="s">
        <v>210</v>
      </c>
      <c r="D461" s="16" t="s">
        <v>211</v>
      </c>
      <c r="E461" s="74">
        <f>E462</f>
        <v>10000</v>
      </c>
      <c r="F461" s="451">
        <f aca="true" t="shared" si="188" ref="F461:M461">F462</f>
        <v>0</v>
      </c>
      <c r="G461" s="141">
        <f t="shared" si="188"/>
        <v>10000</v>
      </c>
      <c r="H461" s="461">
        <f t="shared" si="188"/>
        <v>0</v>
      </c>
      <c r="I461" s="89">
        <f t="shared" si="188"/>
        <v>0</v>
      </c>
      <c r="J461" s="93">
        <f t="shared" si="188"/>
        <v>0</v>
      </c>
      <c r="K461" s="471">
        <f t="shared" si="188"/>
        <v>0</v>
      </c>
      <c r="L461" s="481">
        <f t="shared" si="188"/>
        <v>0</v>
      </c>
      <c r="M461" s="491">
        <f t="shared" si="188"/>
        <v>0</v>
      </c>
      <c r="N461" s="3"/>
      <c r="O461" s="3"/>
    </row>
    <row r="462" spans="1:15" s="62" customFormat="1" ht="12.75">
      <c r="A462" s="81"/>
      <c r="B462" s="1"/>
      <c r="C462" s="1" t="s">
        <v>8</v>
      </c>
      <c r="D462" s="16" t="s">
        <v>216</v>
      </c>
      <c r="E462" s="74">
        <f>F462+G462+H462+I462+J462+K462+L462+M462</f>
        <v>10000</v>
      </c>
      <c r="F462" s="451"/>
      <c r="G462" s="141">
        <v>10000</v>
      </c>
      <c r="H462" s="461"/>
      <c r="I462" s="89"/>
      <c r="J462" s="93"/>
      <c r="K462" s="471"/>
      <c r="L462" s="481"/>
      <c r="M462" s="491"/>
      <c r="N462" s="3"/>
      <c r="O462" s="3"/>
    </row>
    <row r="463" spans="1:15" s="62" customFormat="1" ht="27" customHeight="1">
      <c r="A463" s="81"/>
      <c r="B463" s="1"/>
      <c r="C463" s="1" t="s">
        <v>232</v>
      </c>
      <c r="D463" s="48" t="s">
        <v>403</v>
      </c>
      <c r="E463" s="74">
        <f aca="true" t="shared" si="189" ref="E463:M463">E464</f>
        <v>3250</v>
      </c>
      <c r="F463" s="451">
        <f t="shared" si="189"/>
        <v>0</v>
      </c>
      <c r="G463" s="141">
        <f t="shared" si="189"/>
        <v>3250</v>
      </c>
      <c r="H463" s="461">
        <f t="shared" si="189"/>
        <v>0</v>
      </c>
      <c r="I463" s="89">
        <f t="shared" si="189"/>
        <v>0</v>
      </c>
      <c r="J463" s="93">
        <f t="shared" si="189"/>
        <v>0</v>
      </c>
      <c r="K463" s="471">
        <f t="shared" si="189"/>
        <v>0</v>
      </c>
      <c r="L463" s="481">
        <f t="shared" si="189"/>
        <v>0</v>
      </c>
      <c r="M463" s="491">
        <f t="shared" si="189"/>
        <v>0</v>
      </c>
      <c r="N463" s="3"/>
      <c r="O463" s="3"/>
    </row>
    <row r="464" spans="1:15" s="62" customFormat="1" ht="12.75">
      <c r="A464" s="81"/>
      <c r="B464" s="1"/>
      <c r="C464" s="1" t="s">
        <v>132</v>
      </c>
      <c r="D464" s="16" t="s">
        <v>251</v>
      </c>
      <c r="E464" s="74">
        <f>F464+G464+H464+I464+J464+K464+L464+M464</f>
        <v>3250</v>
      </c>
      <c r="F464" s="452"/>
      <c r="G464" s="142">
        <f>12000-10000+1250</f>
        <v>3250</v>
      </c>
      <c r="H464" s="462"/>
      <c r="I464" s="90"/>
      <c r="J464" s="94"/>
      <c r="K464" s="474"/>
      <c r="L464" s="482"/>
      <c r="M464" s="494"/>
      <c r="N464" s="3"/>
      <c r="O464" s="3"/>
    </row>
    <row r="465" spans="1:15" s="62" customFormat="1" ht="28.5" customHeight="1">
      <c r="A465" s="81"/>
      <c r="B465" s="59" t="s">
        <v>1044</v>
      </c>
      <c r="C465" s="1"/>
      <c r="D465" s="16" t="s">
        <v>1045</v>
      </c>
      <c r="E465" s="74">
        <f>E466</f>
        <v>200</v>
      </c>
      <c r="F465" s="451">
        <f aca="true" t="shared" si="190" ref="F465:M466">F466</f>
        <v>0</v>
      </c>
      <c r="G465" s="141">
        <f t="shared" si="190"/>
        <v>200</v>
      </c>
      <c r="H465" s="461">
        <f t="shared" si="190"/>
        <v>0</v>
      </c>
      <c r="I465" s="89">
        <f t="shared" si="190"/>
        <v>0</v>
      </c>
      <c r="J465" s="93">
        <f t="shared" si="190"/>
        <v>0</v>
      </c>
      <c r="K465" s="471">
        <f t="shared" si="190"/>
        <v>0</v>
      </c>
      <c r="L465" s="481">
        <f t="shared" si="190"/>
        <v>0</v>
      </c>
      <c r="M465" s="491">
        <f t="shared" si="190"/>
        <v>0</v>
      </c>
      <c r="N465" s="3"/>
      <c r="O465" s="3"/>
    </row>
    <row r="466" spans="1:15" s="62" customFormat="1" ht="12.75">
      <c r="A466" s="81"/>
      <c r="B466" s="59"/>
      <c r="C466" s="1" t="s">
        <v>210</v>
      </c>
      <c r="D466" s="16" t="s">
        <v>211</v>
      </c>
      <c r="E466" s="74">
        <f>E467</f>
        <v>200</v>
      </c>
      <c r="F466" s="451">
        <f t="shared" si="190"/>
        <v>0</v>
      </c>
      <c r="G466" s="141">
        <f t="shared" si="190"/>
        <v>200</v>
      </c>
      <c r="H466" s="461">
        <f t="shared" si="190"/>
        <v>0</v>
      </c>
      <c r="I466" s="89">
        <f t="shared" si="190"/>
        <v>0</v>
      </c>
      <c r="J466" s="93">
        <f t="shared" si="190"/>
        <v>0</v>
      </c>
      <c r="K466" s="471">
        <f t="shared" si="190"/>
        <v>0</v>
      </c>
      <c r="L466" s="481">
        <f t="shared" si="190"/>
        <v>0</v>
      </c>
      <c r="M466" s="491">
        <f t="shared" si="190"/>
        <v>0</v>
      </c>
      <c r="N466" s="3"/>
      <c r="O466" s="3"/>
    </row>
    <row r="467" spans="1:15" s="62" customFormat="1" ht="12.75">
      <c r="A467" s="81"/>
      <c r="B467" s="59"/>
      <c r="C467" s="1" t="s">
        <v>8</v>
      </c>
      <c r="D467" s="16" t="s">
        <v>216</v>
      </c>
      <c r="E467" s="74">
        <f>F467+G467+H467+I467+J467+K467+L467+M467</f>
        <v>200</v>
      </c>
      <c r="F467" s="452"/>
      <c r="G467" s="142">
        <v>200</v>
      </c>
      <c r="H467" s="462"/>
      <c r="I467" s="90"/>
      <c r="J467" s="94"/>
      <c r="K467" s="474"/>
      <c r="L467" s="482"/>
      <c r="M467" s="494"/>
      <c r="N467" s="3"/>
      <c r="O467" s="3"/>
    </row>
    <row r="468" spans="1:15" s="62" customFormat="1" ht="12.75">
      <c r="A468" s="548" t="s">
        <v>1062</v>
      </c>
      <c r="B468" s="59"/>
      <c r="C468" s="1"/>
      <c r="D468" s="16" t="s">
        <v>1064</v>
      </c>
      <c r="E468" s="74">
        <f>E469</f>
        <v>-11458.643</v>
      </c>
      <c r="F468" s="451">
        <f aca="true" t="shared" si="191" ref="F468:M472">F469</f>
        <v>0</v>
      </c>
      <c r="G468" s="141">
        <f t="shared" si="191"/>
        <v>0</v>
      </c>
      <c r="H468" s="461">
        <f t="shared" si="191"/>
        <v>0</v>
      </c>
      <c r="I468" s="89">
        <f t="shared" si="191"/>
        <v>-11458.643</v>
      </c>
      <c r="J468" s="93">
        <f t="shared" si="191"/>
        <v>0</v>
      </c>
      <c r="K468" s="471">
        <f t="shared" si="191"/>
        <v>0</v>
      </c>
      <c r="L468" s="481">
        <f t="shared" si="191"/>
        <v>0</v>
      </c>
      <c r="M468" s="491">
        <f t="shared" si="191"/>
        <v>0</v>
      </c>
      <c r="N468" s="3"/>
      <c r="O468" s="3"/>
    </row>
    <row r="469" spans="1:15" s="62" customFormat="1" ht="12.75">
      <c r="A469" s="81"/>
      <c r="B469" s="1" t="s">
        <v>37</v>
      </c>
      <c r="C469" s="1"/>
      <c r="D469" s="16" t="s">
        <v>38</v>
      </c>
      <c r="E469" s="74">
        <f>E470</f>
        <v>-11458.643</v>
      </c>
      <c r="F469" s="451">
        <f t="shared" si="191"/>
        <v>0</v>
      </c>
      <c r="G469" s="141">
        <f t="shared" si="191"/>
        <v>0</v>
      </c>
      <c r="H469" s="461">
        <f t="shared" si="191"/>
        <v>0</v>
      </c>
      <c r="I469" s="89">
        <f t="shared" si="191"/>
        <v>-11458.643</v>
      </c>
      <c r="J469" s="93">
        <f t="shared" si="191"/>
        <v>0</v>
      </c>
      <c r="K469" s="471">
        <f t="shared" si="191"/>
        <v>0</v>
      </c>
      <c r="L469" s="481">
        <f t="shared" si="191"/>
        <v>0</v>
      </c>
      <c r="M469" s="491">
        <f t="shared" si="191"/>
        <v>0</v>
      </c>
      <c r="N469" s="3"/>
      <c r="O469" s="3"/>
    </row>
    <row r="470" spans="1:15" s="62" customFormat="1" ht="25.5">
      <c r="A470" s="81"/>
      <c r="B470" s="59" t="s">
        <v>78</v>
      </c>
      <c r="C470" s="1"/>
      <c r="D470" s="16" t="s">
        <v>79</v>
      </c>
      <c r="E470" s="74">
        <f>E471</f>
        <v>-11458.643</v>
      </c>
      <c r="F470" s="451">
        <f t="shared" si="191"/>
        <v>0</v>
      </c>
      <c r="G470" s="141">
        <f t="shared" si="191"/>
        <v>0</v>
      </c>
      <c r="H470" s="461">
        <f t="shared" si="191"/>
        <v>0</v>
      </c>
      <c r="I470" s="89">
        <f t="shared" si="191"/>
        <v>-11458.643</v>
      </c>
      <c r="J470" s="93">
        <f t="shared" si="191"/>
        <v>0</v>
      </c>
      <c r="K470" s="471">
        <f t="shared" si="191"/>
        <v>0</v>
      </c>
      <c r="L470" s="481">
        <f t="shared" si="191"/>
        <v>0</v>
      </c>
      <c r="M470" s="491">
        <f t="shared" si="191"/>
        <v>0</v>
      </c>
      <c r="N470" s="3"/>
      <c r="O470" s="3"/>
    </row>
    <row r="471" spans="1:15" s="62" customFormat="1" ht="12.75">
      <c r="A471" s="81"/>
      <c r="B471" s="1" t="s">
        <v>258</v>
      </c>
      <c r="C471" s="1"/>
      <c r="D471" s="16" t="s">
        <v>142</v>
      </c>
      <c r="E471" s="74">
        <f>E472</f>
        <v>-11458.643</v>
      </c>
      <c r="F471" s="451">
        <f t="shared" si="191"/>
        <v>0</v>
      </c>
      <c r="G471" s="141">
        <f t="shared" si="191"/>
        <v>0</v>
      </c>
      <c r="H471" s="461">
        <f t="shared" si="191"/>
        <v>0</v>
      </c>
      <c r="I471" s="89">
        <f t="shared" si="191"/>
        <v>-11458.643</v>
      </c>
      <c r="J471" s="93">
        <f t="shared" si="191"/>
        <v>0</v>
      </c>
      <c r="K471" s="471">
        <f t="shared" si="191"/>
        <v>0</v>
      </c>
      <c r="L471" s="481">
        <f t="shared" si="191"/>
        <v>0</v>
      </c>
      <c r="M471" s="491">
        <f t="shared" si="191"/>
        <v>0</v>
      </c>
      <c r="N471" s="3"/>
      <c r="O471" s="3"/>
    </row>
    <row r="472" spans="1:15" s="62" customFormat="1" ht="27" customHeight="1">
      <c r="A472" s="81"/>
      <c r="B472" s="1"/>
      <c r="C472" s="1" t="s">
        <v>232</v>
      </c>
      <c r="D472" s="48" t="s">
        <v>403</v>
      </c>
      <c r="E472" s="74">
        <f>E473</f>
        <v>-11458.643</v>
      </c>
      <c r="F472" s="451">
        <f t="shared" si="191"/>
        <v>0</v>
      </c>
      <c r="G472" s="141">
        <f t="shared" si="191"/>
        <v>0</v>
      </c>
      <c r="H472" s="461">
        <f t="shared" si="191"/>
        <v>0</v>
      </c>
      <c r="I472" s="89">
        <f t="shared" si="191"/>
        <v>-11458.643</v>
      </c>
      <c r="J472" s="93">
        <f t="shared" si="191"/>
        <v>0</v>
      </c>
      <c r="K472" s="471">
        <f t="shared" si="191"/>
        <v>0</v>
      </c>
      <c r="L472" s="481">
        <f t="shared" si="191"/>
        <v>0</v>
      </c>
      <c r="M472" s="491">
        <f t="shared" si="191"/>
        <v>0</v>
      </c>
      <c r="N472" s="3"/>
      <c r="O472" s="3"/>
    </row>
    <row r="473" spans="1:15" s="62" customFormat="1" ht="12.75">
      <c r="A473" s="81"/>
      <c r="B473" s="1"/>
      <c r="C473" s="1" t="s">
        <v>132</v>
      </c>
      <c r="D473" s="16" t="s">
        <v>251</v>
      </c>
      <c r="E473" s="74">
        <f>F473+G473+H473+I473+J473+K473+L473+M473</f>
        <v>-11458.643</v>
      </c>
      <c r="F473" s="452"/>
      <c r="G473" s="142"/>
      <c r="H473" s="462"/>
      <c r="I473" s="90">
        <v>-11458.643</v>
      </c>
      <c r="J473" s="94"/>
      <c r="K473" s="474"/>
      <c r="L473" s="482"/>
      <c r="M473" s="494"/>
      <c r="N473" s="3"/>
      <c r="O473" s="3"/>
    </row>
    <row r="474" spans="1:15" s="62" customFormat="1" ht="12.75">
      <c r="A474" s="548" t="s">
        <v>1063</v>
      </c>
      <c r="B474" s="59"/>
      <c r="C474" s="1"/>
      <c r="D474" s="16" t="s">
        <v>1065</v>
      </c>
      <c r="E474" s="74">
        <f>E475+E482</f>
        <v>85</v>
      </c>
      <c r="F474" s="451">
        <f aca="true" t="shared" si="192" ref="F474:M474">F475+F482</f>
        <v>219.032</v>
      </c>
      <c r="G474" s="141">
        <f t="shared" si="192"/>
        <v>0</v>
      </c>
      <c r="H474" s="461">
        <f t="shared" si="192"/>
        <v>0</v>
      </c>
      <c r="I474" s="89">
        <f t="shared" si="192"/>
        <v>-134.032</v>
      </c>
      <c r="J474" s="93">
        <f t="shared" si="192"/>
        <v>0</v>
      </c>
      <c r="K474" s="471">
        <f t="shared" si="192"/>
        <v>0</v>
      </c>
      <c r="L474" s="481">
        <f t="shared" si="192"/>
        <v>0</v>
      </c>
      <c r="M474" s="491">
        <f t="shared" si="192"/>
        <v>0</v>
      </c>
      <c r="N474" s="3"/>
      <c r="O474" s="3"/>
    </row>
    <row r="475" spans="1:15" s="62" customFormat="1" ht="25.5">
      <c r="A475" s="548"/>
      <c r="B475" s="59" t="s">
        <v>28</v>
      </c>
      <c r="C475" s="1"/>
      <c r="D475" s="2" t="s">
        <v>29</v>
      </c>
      <c r="E475" s="74">
        <f>E476</f>
        <v>219.032</v>
      </c>
      <c r="F475" s="451">
        <f aca="true" t="shared" si="193" ref="F475:M476">F476</f>
        <v>219.032</v>
      </c>
      <c r="G475" s="141">
        <f t="shared" si="193"/>
        <v>0</v>
      </c>
      <c r="H475" s="461">
        <f t="shared" si="193"/>
        <v>0</v>
      </c>
      <c r="I475" s="89">
        <f t="shared" si="193"/>
        <v>0</v>
      </c>
      <c r="J475" s="93">
        <f t="shared" si="193"/>
        <v>0</v>
      </c>
      <c r="K475" s="471">
        <f t="shared" si="193"/>
        <v>0</v>
      </c>
      <c r="L475" s="481">
        <f t="shared" si="193"/>
        <v>0</v>
      </c>
      <c r="M475" s="491">
        <f t="shared" si="193"/>
        <v>0</v>
      </c>
      <c r="N475" s="3"/>
      <c r="O475" s="3"/>
    </row>
    <row r="476" spans="1:15" s="62" customFormat="1" ht="12.75">
      <c r="A476" s="548"/>
      <c r="B476" s="59" t="s">
        <v>30</v>
      </c>
      <c r="C476" s="1"/>
      <c r="D476" s="2" t="s">
        <v>31</v>
      </c>
      <c r="E476" s="74">
        <f>E477</f>
        <v>219.032</v>
      </c>
      <c r="F476" s="451">
        <f t="shared" si="193"/>
        <v>219.032</v>
      </c>
      <c r="G476" s="141">
        <f t="shared" si="193"/>
        <v>0</v>
      </c>
      <c r="H476" s="461">
        <f t="shared" si="193"/>
        <v>0</v>
      </c>
      <c r="I476" s="89">
        <f t="shared" si="193"/>
        <v>0</v>
      </c>
      <c r="J476" s="93">
        <f t="shared" si="193"/>
        <v>0</v>
      </c>
      <c r="K476" s="471">
        <f t="shared" si="193"/>
        <v>0</v>
      </c>
      <c r="L476" s="481">
        <f t="shared" si="193"/>
        <v>0</v>
      </c>
      <c r="M476" s="491">
        <f t="shared" si="193"/>
        <v>0</v>
      </c>
      <c r="N476" s="3"/>
      <c r="O476" s="3"/>
    </row>
    <row r="477" spans="1:15" s="62" customFormat="1" ht="12.75">
      <c r="A477" s="548"/>
      <c r="B477" s="59" t="s">
        <v>32</v>
      </c>
      <c r="C477" s="1"/>
      <c r="D477" s="2" t="s">
        <v>33</v>
      </c>
      <c r="E477" s="74">
        <f>E478+E480</f>
        <v>219.032</v>
      </c>
      <c r="F477" s="451">
        <f aca="true" t="shared" si="194" ref="F477:M477">F478+F480</f>
        <v>219.032</v>
      </c>
      <c r="G477" s="141">
        <f t="shared" si="194"/>
        <v>0</v>
      </c>
      <c r="H477" s="461">
        <f t="shared" si="194"/>
        <v>0</v>
      </c>
      <c r="I477" s="89">
        <f t="shared" si="194"/>
        <v>0</v>
      </c>
      <c r="J477" s="93">
        <f t="shared" si="194"/>
        <v>0</v>
      </c>
      <c r="K477" s="471">
        <f t="shared" si="194"/>
        <v>0</v>
      </c>
      <c r="L477" s="481">
        <f t="shared" si="194"/>
        <v>0</v>
      </c>
      <c r="M477" s="491">
        <f t="shared" si="194"/>
        <v>0</v>
      </c>
      <c r="N477" s="3"/>
      <c r="O477" s="3"/>
    </row>
    <row r="478" spans="1:15" s="62" customFormat="1" ht="25.5">
      <c r="A478" s="548"/>
      <c r="B478" s="59"/>
      <c r="C478" s="1" t="s">
        <v>227</v>
      </c>
      <c r="D478" s="16" t="s">
        <v>331</v>
      </c>
      <c r="E478" s="74">
        <f>E479</f>
        <v>134.032</v>
      </c>
      <c r="F478" s="451">
        <f aca="true" t="shared" si="195" ref="F478:M478">F479</f>
        <v>134.032</v>
      </c>
      <c r="G478" s="141">
        <f t="shared" si="195"/>
        <v>0</v>
      </c>
      <c r="H478" s="461">
        <f t="shared" si="195"/>
        <v>0</v>
      </c>
      <c r="I478" s="89">
        <f t="shared" si="195"/>
        <v>0</v>
      </c>
      <c r="J478" s="93">
        <f t="shared" si="195"/>
        <v>0</v>
      </c>
      <c r="K478" s="471">
        <f t="shared" si="195"/>
        <v>0</v>
      </c>
      <c r="L478" s="481">
        <f t="shared" si="195"/>
        <v>0</v>
      </c>
      <c r="M478" s="491">
        <f t="shared" si="195"/>
        <v>0</v>
      </c>
      <c r="N478" s="3"/>
      <c r="O478" s="3"/>
    </row>
    <row r="479" spans="1:15" s="62" customFormat="1" ht="12.75">
      <c r="A479" s="548"/>
      <c r="B479" s="59"/>
      <c r="C479" s="1" t="s">
        <v>121</v>
      </c>
      <c r="D479" s="16" t="s">
        <v>229</v>
      </c>
      <c r="E479" s="74">
        <f>F479+G479+H479+I479+J479+K479+L479+M479</f>
        <v>134.032</v>
      </c>
      <c r="F479" s="451">
        <v>134.032</v>
      </c>
      <c r="G479" s="141"/>
      <c r="H479" s="461"/>
      <c r="I479" s="89"/>
      <c r="J479" s="93"/>
      <c r="K479" s="471"/>
      <c r="L479" s="481"/>
      <c r="M479" s="491"/>
      <c r="N479" s="3"/>
      <c r="O479" s="3"/>
    </row>
    <row r="480" spans="1:15" s="62" customFormat="1" ht="12.75">
      <c r="A480" s="548"/>
      <c r="B480" s="59"/>
      <c r="C480" s="1" t="s">
        <v>210</v>
      </c>
      <c r="D480" s="16" t="s">
        <v>211</v>
      </c>
      <c r="E480" s="74">
        <f>E481</f>
        <v>85</v>
      </c>
      <c r="F480" s="451">
        <f aca="true" t="shared" si="196" ref="F480:M480">F481</f>
        <v>85</v>
      </c>
      <c r="G480" s="141">
        <f t="shared" si="196"/>
        <v>0</v>
      </c>
      <c r="H480" s="461">
        <f t="shared" si="196"/>
        <v>0</v>
      </c>
      <c r="I480" s="89">
        <f t="shared" si="196"/>
        <v>0</v>
      </c>
      <c r="J480" s="93">
        <f t="shared" si="196"/>
        <v>0</v>
      </c>
      <c r="K480" s="471">
        <f t="shared" si="196"/>
        <v>0</v>
      </c>
      <c r="L480" s="481">
        <f t="shared" si="196"/>
        <v>0</v>
      </c>
      <c r="M480" s="491">
        <f t="shared" si="196"/>
        <v>0</v>
      </c>
      <c r="N480" s="3"/>
      <c r="O480" s="3"/>
    </row>
    <row r="481" spans="1:15" s="62" customFormat="1" ht="12.75">
      <c r="A481" s="548"/>
      <c r="B481" s="59"/>
      <c r="C481" s="1" t="s">
        <v>8</v>
      </c>
      <c r="D481" s="16" t="s">
        <v>216</v>
      </c>
      <c r="E481" s="74">
        <f>F481+G481+H481+I481+J481+K481+L481+M481</f>
        <v>85</v>
      </c>
      <c r="F481" s="451">
        <v>85</v>
      </c>
      <c r="G481" s="141"/>
      <c r="H481" s="461"/>
      <c r="I481" s="89"/>
      <c r="J481" s="93"/>
      <c r="K481" s="471"/>
      <c r="L481" s="481"/>
      <c r="M481" s="491"/>
      <c r="N481" s="3"/>
      <c r="O481" s="3"/>
    </row>
    <row r="482" spans="1:15" s="62" customFormat="1" ht="12.75">
      <c r="A482" s="81"/>
      <c r="B482" s="1" t="s">
        <v>37</v>
      </c>
      <c r="C482" s="1"/>
      <c r="D482" s="16" t="s">
        <v>38</v>
      </c>
      <c r="E482" s="74">
        <f>E483</f>
        <v>-134.032</v>
      </c>
      <c r="F482" s="451">
        <f aca="true" t="shared" si="197" ref="F482:M485">F483</f>
        <v>0</v>
      </c>
      <c r="G482" s="141">
        <f t="shared" si="197"/>
        <v>0</v>
      </c>
      <c r="H482" s="461">
        <f t="shared" si="197"/>
        <v>0</v>
      </c>
      <c r="I482" s="89">
        <f t="shared" si="197"/>
        <v>-134.032</v>
      </c>
      <c r="J482" s="93">
        <f t="shared" si="197"/>
        <v>0</v>
      </c>
      <c r="K482" s="471">
        <f t="shared" si="197"/>
        <v>0</v>
      </c>
      <c r="L482" s="481">
        <f t="shared" si="197"/>
        <v>0</v>
      </c>
      <c r="M482" s="491">
        <f t="shared" si="197"/>
        <v>0</v>
      </c>
      <c r="N482" s="3"/>
      <c r="O482" s="3"/>
    </row>
    <row r="483" spans="1:15" s="62" customFormat="1" ht="25.5">
      <c r="A483" s="81"/>
      <c r="B483" s="59" t="s">
        <v>78</v>
      </c>
      <c r="C483" s="1"/>
      <c r="D483" s="16" t="s">
        <v>79</v>
      </c>
      <c r="E483" s="74">
        <f>E484</f>
        <v>-134.032</v>
      </c>
      <c r="F483" s="451">
        <f t="shared" si="197"/>
        <v>0</v>
      </c>
      <c r="G483" s="141">
        <f t="shared" si="197"/>
        <v>0</v>
      </c>
      <c r="H483" s="461">
        <f t="shared" si="197"/>
        <v>0</v>
      </c>
      <c r="I483" s="89">
        <f t="shared" si="197"/>
        <v>-134.032</v>
      </c>
      <c r="J483" s="93">
        <f t="shared" si="197"/>
        <v>0</v>
      </c>
      <c r="K483" s="471">
        <f t="shared" si="197"/>
        <v>0</v>
      </c>
      <c r="L483" s="481">
        <f t="shared" si="197"/>
        <v>0</v>
      </c>
      <c r="M483" s="491">
        <f t="shared" si="197"/>
        <v>0</v>
      </c>
      <c r="N483" s="3"/>
      <c r="O483" s="3"/>
    </row>
    <row r="484" spans="1:15" s="62" customFormat="1" ht="12.75">
      <c r="A484" s="81"/>
      <c r="B484" s="1" t="s">
        <v>258</v>
      </c>
      <c r="C484" s="1"/>
      <c r="D484" s="16" t="s">
        <v>142</v>
      </c>
      <c r="E484" s="74">
        <f>E485</f>
        <v>-134.032</v>
      </c>
      <c r="F484" s="451">
        <f t="shared" si="197"/>
        <v>0</v>
      </c>
      <c r="G484" s="141">
        <f t="shared" si="197"/>
        <v>0</v>
      </c>
      <c r="H484" s="461">
        <f t="shared" si="197"/>
        <v>0</v>
      </c>
      <c r="I484" s="89">
        <f t="shared" si="197"/>
        <v>-134.032</v>
      </c>
      <c r="J484" s="93">
        <f t="shared" si="197"/>
        <v>0</v>
      </c>
      <c r="K484" s="471">
        <f t="shared" si="197"/>
        <v>0</v>
      </c>
      <c r="L484" s="481">
        <f t="shared" si="197"/>
        <v>0</v>
      </c>
      <c r="M484" s="491">
        <f t="shared" si="197"/>
        <v>0</v>
      </c>
      <c r="N484" s="3"/>
      <c r="O484" s="3"/>
    </row>
    <row r="485" spans="1:15" s="62" customFormat="1" ht="25.5">
      <c r="A485" s="81"/>
      <c r="B485" s="59"/>
      <c r="C485" s="1" t="s">
        <v>227</v>
      </c>
      <c r="D485" s="16" t="s">
        <v>331</v>
      </c>
      <c r="E485" s="74">
        <f>E486</f>
        <v>-134.032</v>
      </c>
      <c r="F485" s="451">
        <f t="shared" si="197"/>
        <v>0</v>
      </c>
      <c r="G485" s="141">
        <f t="shared" si="197"/>
        <v>0</v>
      </c>
      <c r="H485" s="461">
        <f t="shared" si="197"/>
        <v>0</v>
      </c>
      <c r="I485" s="89">
        <f t="shared" si="197"/>
        <v>-134.032</v>
      </c>
      <c r="J485" s="93">
        <f t="shared" si="197"/>
        <v>0</v>
      </c>
      <c r="K485" s="471">
        <f t="shared" si="197"/>
        <v>0</v>
      </c>
      <c r="L485" s="481">
        <f t="shared" si="197"/>
        <v>0</v>
      </c>
      <c r="M485" s="491">
        <f t="shared" si="197"/>
        <v>0</v>
      </c>
      <c r="N485" s="3"/>
      <c r="O485" s="3"/>
    </row>
    <row r="486" spans="1:15" s="62" customFormat="1" ht="12.75">
      <c r="A486" s="81"/>
      <c r="B486" s="59"/>
      <c r="C486" s="1" t="s">
        <v>121</v>
      </c>
      <c r="D486" s="16" t="s">
        <v>229</v>
      </c>
      <c r="E486" s="74">
        <f>F486+G486+H486+I486+J486+K486+L486+M486</f>
        <v>-134.032</v>
      </c>
      <c r="F486" s="452"/>
      <c r="G486" s="142"/>
      <c r="H486" s="462"/>
      <c r="I486" s="90">
        <v>-134.032</v>
      </c>
      <c r="J486" s="94"/>
      <c r="K486" s="474"/>
      <c r="L486" s="482"/>
      <c r="M486" s="494"/>
      <c r="N486" s="3"/>
      <c r="O486" s="3"/>
    </row>
    <row r="487" spans="1:15" s="67" customFormat="1" ht="12.75">
      <c r="A487" s="10" t="s">
        <v>63</v>
      </c>
      <c r="B487" s="58"/>
      <c r="C487" s="10"/>
      <c r="D487" s="15" t="s">
        <v>64</v>
      </c>
      <c r="E487" s="425">
        <f aca="true" t="shared" si="198" ref="E487:M487">E488+E492+E525</f>
        <v>-33547.277</v>
      </c>
      <c r="F487" s="450">
        <f t="shared" si="198"/>
        <v>145.8</v>
      </c>
      <c r="G487" s="140">
        <f t="shared" si="198"/>
        <v>0</v>
      </c>
      <c r="H487" s="460">
        <f t="shared" si="198"/>
        <v>0</v>
      </c>
      <c r="I487" s="88">
        <f t="shared" si="198"/>
        <v>-48441.5</v>
      </c>
      <c r="J487" s="92">
        <f t="shared" si="198"/>
        <v>1024.38</v>
      </c>
      <c r="K487" s="470">
        <f t="shared" si="198"/>
        <v>0</v>
      </c>
      <c r="L487" s="480">
        <f t="shared" si="198"/>
        <v>13724.042999999998</v>
      </c>
      <c r="M487" s="490">
        <f t="shared" si="198"/>
        <v>0</v>
      </c>
      <c r="N487" s="4"/>
      <c r="O487" s="4"/>
    </row>
    <row r="488" spans="1:15" s="67" customFormat="1" ht="12.75">
      <c r="A488" s="548" t="s">
        <v>321</v>
      </c>
      <c r="B488" s="59"/>
      <c r="C488" s="1"/>
      <c r="D488" s="16" t="s">
        <v>344</v>
      </c>
      <c r="E488" s="74">
        <f>E489</f>
        <v>145.8</v>
      </c>
      <c r="F488" s="451">
        <f aca="true" t="shared" si="199" ref="F488:M490">F489</f>
        <v>145.8</v>
      </c>
      <c r="G488" s="141">
        <f t="shared" si="199"/>
        <v>0</v>
      </c>
      <c r="H488" s="461">
        <f t="shared" si="199"/>
        <v>0</v>
      </c>
      <c r="I488" s="89">
        <f t="shared" si="199"/>
        <v>0</v>
      </c>
      <c r="J488" s="93">
        <f t="shared" si="199"/>
        <v>0</v>
      </c>
      <c r="K488" s="471">
        <f t="shared" si="199"/>
        <v>0</v>
      </c>
      <c r="L488" s="481">
        <f t="shared" si="199"/>
        <v>0</v>
      </c>
      <c r="M488" s="491">
        <f t="shared" si="199"/>
        <v>0</v>
      </c>
      <c r="N488" s="4"/>
      <c r="O488" s="4"/>
    </row>
    <row r="489" spans="1:15" s="67" customFormat="1" ht="12.75">
      <c r="A489" s="549"/>
      <c r="B489" s="59" t="s">
        <v>341</v>
      </c>
      <c r="C489" s="1"/>
      <c r="D489" s="16" t="s">
        <v>343</v>
      </c>
      <c r="E489" s="74">
        <f>E490</f>
        <v>145.8</v>
      </c>
      <c r="F489" s="451">
        <f t="shared" si="199"/>
        <v>145.8</v>
      </c>
      <c r="G489" s="141">
        <f t="shared" si="199"/>
        <v>0</v>
      </c>
      <c r="H489" s="461">
        <f t="shared" si="199"/>
        <v>0</v>
      </c>
      <c r="I489" s="89">
        <f t="shared" si="199"/>
        <v>0</v>
      </c>
      <c r="J489" s="93">
        <f t="shared" si="199"/>
        <v>0</v>
      </c>
      <c r="K489" s="471">
        <f t="shared" si="199"/>
        <v>0</v>
      </c>
      <c r="L489" s="481">
        <f t="shared" si="199"/>
        <v>0</v>
      </c>
      <c r="M489" s="491">
        <f t="shared" si="199"/>
        <v>0</v>
      </c>
      <c r="N489" s="4"/>
      <c r="O489" s="4"/>
    </row>
    <row r="490" spans="1:15" s="67" customFormat="1" ht="12.75">
      <c r="A490" s="549"/>
      <c r="B490" s="59"/>
      <c r="C490" s="1" t="s">
        <v>225</v>
      </c>
      <c r="D490" s="16" t="s">
        <v>226</v>
      </c>
      <c r="E490" s="74">
        <f>E491</f>
        <v>145.8</v>
      </c>
      <c r="F490" s="451">
        <f t="shared" si="199"/>
        <v>145.8</v>
      </c>
      <c r="G490" s="141">
        <f t="shared" si="199"/>
        <v>0</v>
      </c>
      <c r="H490" s="461">
        <f t="shared" si="199"/>
        <v>0</v>
      </c>
      <c r="I490" s="89">
        <f t="shared" si="199"/>
        <v>0</v>
      </c>
      <c r="J490" s="93">
        <f t="shared" si="199"/>
        <v>0</v>
      </c>
      <c r="K490" s="471">
        <f t="shared" si="199"/>
        <v>0</v>
      </c>
      <c r="L490" s="481">
        <f t="shared" si="199"/>
        <v>0</v>
      </c>
      <c r="M490" s="491">
        <f t="shared" si="199"/>
        <v>0</v>
      </c>
      <c r="N490" s="4"/>
      <c r="O490" s="4"/>
    </row>
    <row r="491" spans="1:15" s="67" customFormat="1" ht="12.75">
      <c r="A491" s="549"/>
      <c r="B491" s="59"/>
      <c r="C491" s="1" t="s">
        <v>342</v>
      </c>
      <c r="D491" s="16" t="s">
        <v>345</v>
      </c>
      <c r="E491" s="74">
        <f>F491+G491+H491+I491+J491+K491+L491+M491</f>
        <v>145.8</v>
      </c>
      <c r="F491" s="452">
        <v>145.8</v>
      </c>
      <c r="G491" s="143"/>
      <c r="H491" s="463"/>
      <c r="I491" s="91"/>
      <c r="J491" s="95"/>
      <c r="K491" s="475"/>
      <c r="L491" s="483"/>
      <c r="M491" s="495"/>
      <c r="N491" s="4"/>
      <c r="O491" s="4"/>
    </row>
    <row r="492" spans="1:15" s="62" customFormat="1" ht="12.75">
      <c r="A492" s="1" t="s">
        <v>16</v>
      </c>
      <c r="B492" s="1"/>
      <c r="C492" s="1"/>
      <c r="D492" s="5" t="s">
        <v>65</v>
      </c>
      <c r="E492" s="74">
        <f>F492+G492+H492+I492+J492+K492+L492+M492</f>
        <v>12985.41</v>
      </c>
      <c r="F492" s="452">
        <f aca="true" t="shared" si="200" ref="F492:M492">F493+F498+F517+F513</f>
        <v>0</v>
      </c>
      <c r="G492" s="142">
        <f t="shared" si="200"/>
        <v>0</v>
      </c>
      <c r="H492" s="462">
        <f t="shared" si="200"/>
        <v>0</v>
      </c>
      <c r="I492" s="90">
        <f t="shared" si="200"/>
        <v>837</v>
      </c>
      <c r="J492" s="94">
        <f t="shared" si="200"/>
        <v>1024.38</v>
      </c>
      <c r="K492" s="474">
        <f t="shared" si="200"/>
        <v>0</v>
      </c>
      <c r="L492" s="482">
        <f t="shared" si="200"/>
        <v>11124.029999999999</v>
      </c>
      <c r="M492" s="494">
        <f t="shared" si="200"/>
        <v>0</v>
      </c>
      <c r="N492" s="3"/>
      <c r="O492" s="3"/>
    </row>
    <row r="493" spans="1:15" s="62" customFormat="1" ht="12.75">
      <c r="A493" s="1"/>
      <c r="B493" s="1" t="s">
        <v>1048</v>
      </c>
      <c r="C493" s="1"/>
      <c r="D493" s="5" t="s">
        <v>1051</v>
      </c>
      <c r="E493" s="74">
        <f>E494</f>
        <v>948.45</v>
      </c>
      <c r="F493" s="451">
        <f aca="true" t="shared" si="201" ref="F493:M496">F494</f>
        <v>0</v>
      </c>
      <c r="G493" s="141">
        <f t="shared" si="201"/>
        <v>0</v>
      </c>
      <c r="H493" s="461">
        <f t="shared" si="201"/>
        <v>0</v>
      </c>
      <c r="I493" s="89">
        <f t="shared" si="201"/>
        <v>0</v>
      </c>
      <c r="J493" s="93">
        <f t="shared" si="201"/>
        <v>0</v>
      </c>
      <c r="K493" s="471">
        <f t="shared" si="201"/>
        <v>0</v>
      </c>
      <c r="L493" s="481">
        <f t="shared" si="201"/>
        <v>948.45</v>
      </c>
      <c r="M493" s="491">
        <f t="shared" si="201"/>
        <v>0</v>
      </c>
      <c r="N493" s="3"/>
      <c r="O493" s="3"/>
    </row>
    <row r="494" spans="1:15" s="62" customFormat="1" ht="12.75">
      <c r="A494" s="1"/>
      <c r="B494" s="1" t="s">
        <v>1049</v>
      </c>
      <c r="C494" s="1"/>
      <c r="D494" s="5" t="s">
        <v>1052</v>
      </c>
      <c r="E494" s="74">
        <f>E495</f>
        <v>948.45</v>
      </c>
      <c r="F494" s="451">
        <f t="shared" si="201"/>
        <v>0</v>
      </c>
      <c r="G494" s="141">
        <f t="shared" si="201"/>
        <v>0</v>
      </c>
      <c r="H494" s="461">
        <f t="shared" si="201"/>
        <v>0</v>
      </c>
      <c r="I494" s="89">
        <f t="shared" si="201"/>
        <v>0</v>
      </c>
      <c r="J494" s="93">
        <f t="shared" si="201"/>
        <v>0</v>
      </c>
      <c r="K494" s="471">
        <f t="shared" si="201"/>
        <v>0</v>
      </c>
      <c r="L494" s="481">
        <f t="shared" si="201"/>
        <v>948.45</v>
      </c>
      <c r="M494" s="491">
        <f t="shared" si="201"/>
        <v>0</v>
      </c>
      <c r="N494" s="3"/>
      <c r="O494" s="3"/>
    </row>
    <row r="495" spans="1:15" s="62" customFormat="1" ht="15" customHeight="1">
      <c r="A495" s="1"/>
      <c r="B495" s="1" t="s">
        <v>1050</v>
      </c>
      <c r="C495" s="1"/>
      <c r="D495" s="5" t="s">
        <v>1053</v>
      </c>
      <c r="E495" s="74">
        <f>E496</f>
        <v>948.45</v>
      </c>
      <c r="F495" s="451">
        <f t="shared" si="201"/>
        <v>0</v>
      </c>
      <c r="G495" s="141">
        <f t="shared" si="201"/>
        <v>0</v>
      </c>
      <c r="H495" s="461">
        <f t="shared" si="201"/>
        <v>0</v>
      </c>
      <c r="I495" s="89">
        <f t="shared" si="201"/>
        <v>0</v>
      </c>
      <c r="J495" s="93">
        <f t="shared" si="201"/>
        <v>0</v>
      </c>
      <c r="K495" s="471">
        <f t="shared" si="201"/>
        <v>0</v>
      </c>
      <c r="L495" s="481">
        <f t="shared" si="201"/>
        <v>948.45</v>
      </c>
      <c r="M495" s="491">
        <f t="shared" si="201"/>
        <v>0</v>
      </c>
      <c r="N495" s="3"/>
      <c r="O495" s="3"/>
    </row>
    <row r="496" spans="1:15" s="62" customFormat="1" ht="12.75">
      <c r="A496" s="1"/>
      <c r="B496" s="1"/>
      <c r="C496" s="1" t="s">
        <v>225</v>
      </c>
      <c r="D496" s="16" t="s">
        <v>226</v>
      </c>
      <c r="E496" s="74">
        <f>E497</f>
        <v>948.45</v>
      </c>
      <c r="F496" s="451">
        <f t="shared" si="201"/>
        <v>0</v>
      </c>
      <c r="G496" s="141">
        <f t="shared" si="201"/>
        <v>0</v>
      </c>
      <c r="H496" s="461">
        <f t="shared" si="201"/>
        <v>0</v>
      </c>
      <c r="I496" s="89">
        <f t="shared" si="201"/>
        <v>0</v>
      </c>
      <c r="J496" s="93">
        <f t="shared" si="201"/>
        <v>0</v>
      </c>
      <c r="K496" s="471">
        <f t="shared" si="201"/>
        <v>0</v>
      </c>
      <c r="L496" s="481">
        <f t="shared" si="201"/>
        <v>948.45</v>
      </c>
      <c r="M496" s="491">
        <f t="shared" si="201"/>
        <v>0</v>
      </c>
      <c r="N496" s="3"/>
      <c r="O496" s="3"/>
    </row>
    <row r="497" spans="1:15" s="62" customFormat="1" ht="16.5" customHeight="1">
      <c r="A497" s="1"/>
      <c r="B497" s="1"/>
      <c r="C497" s="1" t="s">
        <v>128</v>
      </c>
      <c r="D497" s="16" t="s">
        <v>1211</v>
      </c>
      <c r="E497" s="74">
        <f>F497+G497+H497+I497+J497+K497+L497+M497</f>
        <v>948.45</v>
      </c>
      <c r="F497" s="452"/>
      <c r="G497" s="142"/>
      <c r="H497" s="462"/>
      <c r="I497" s="90"/>
      <c r="J497" s="94"/>
      <c r="K497" s="474"/>
      <c r="L497" s="482">
        <v>948.45</v>
      </c>
      <c r="M497" s="494"/>
      <c r="N497" s="3"/>
      <c r="O497" s="3"/>
    </row>
    <row r="498" spans="1:15" s="62" customFormat="1" ht="12.75">
      <c r="A498" s="81"/>
      <c r="B498" s="1" t="s">
        <v>66</v>
      </c>
      <c r="C498" s="1"/>
      <c r="D498" s="5" t="s">
        <v>67</v>
      </c>
      <c r="E498" s="74">
        <f>F498+G498+H498+I498+J498+K498+L498+M498</f>
        <v>5695.395</v>
      </c>
      <c r="F498" s="452">
        <f>F499+F506+F509</f>
        <v>0</v>
      </c>
      <c r="G498" s="142">
        <f aca="true" t="shared" si="202" ref="G498:M498">G499+G506+G509</f>
        <v>0</v>
      </c>
      <c r="H498" s="462">
        <f t="shared" si="202"/>
        <v>0</v>
      </c>
      <c r="I498" s="90">
        <f t="shared" si="202"/>
        <v>837</v>
      </c>
      <c r="J498" s="94">
        <f t="shared" si="202"/>
        <v>0</v>
      </c>
      <c r="K498" s="474">
        <f t="shared" si="202"/>
        <v>0</v>
      </c>
      <c r="L498" s="482">
        <f>L499+L506+L509</f>
        <v>4858.395</v>
      </c>
      <c r="M498" s="494">
        <f t="shared" si="202"/>
        <v>0</v>
      </c>
      <c r="N498" s="3"/>
      <c r="O498" s="3"/>
    </row>
    <row r="499" spans="1:15" s="62" customFormat="1" ht="89.25">
      <c r="A499" s="81"/>
      <c r="B499" s="1" t="s">
        <v>259</v>
      </c>
      <c r="C499" s="1"/>
      <c r="D499" s="5" t="s">
        <v>260</v>
      </c>
      <c r="E499" s="74">
        <f aca="true" t="shared" si="203" ref="E499:E524">F499+G499+H499+I499+J499+K499+L499+M499</f>
        <v>1947.6</v>
      </c>
      <c r="F499" s="452">
        <f>F500+F503</f>
        <v>0</v>
      </c>
      <c r="G499" s="142">
        <f aca="true" t="shared" si="204" ref="G499:M499">G500+G503</f>
        <v>0</v>
      </c>
      <c r="H499" s="462">
        <f t="shared" si="204"/>
        <v>0</v>
      </c>
      <c r="I499" s="90">
        <f t="shared" si="204"/>
        <v>837</v>
      </c>
      <c r="J499" s="94">
        <f t="shared" si="204"/>
        <v>0</v>
      </c>
      <c r="K499" s="474">
        <f t="shared" si="204"/>
        <v>0</v>
      </c>
      <c r="L499" s="482">
        <f t="shared" si="204"/>
        <v>1110.6</v>
      </c>
      <c r="M499" s="494">
        <f t="shared" si="204"/>
        <v>0</v>
      </c>
      <c r="N499" s="3"/>
      <c r="O499" s="3"/>
    </row>
    <row r="500" spans="1:15" s="62" customFormat="1" ht="38.25">
      <c r="A500" s="81"/>
      <c r="B500" s="1" t="s">
        <v>261</v>
      </c>
      <c r="C500" s="18"/>
      <c r="D500" s="50" t="s">
        <v>169</v>
      </c>
      <c r="E500" s="74">
        <f t="shared" si="203"/>
        <v>1891.8</v>
      </c>
      <c r="F500" s="452">
        <f>F501</f>
        <v>0</v>
      </c>
      <c r="G500" s="142">
        <f aca="true" t="shared" si="205" ref="G500:M501">G501</f>
        <v>0</v>
      </c>
      <c r="H500" s="462">
        <f t="shared" si="205"/>
        <v>0</v>
      </c>
      <c r="I500" s="90">
        <f t="shared" si="205"/>
        <v>781.2</v>
      </c>
      <c r="J500" s="94">
        <f t="shared" si="205"/>
        <v>0</v>
      </c>
      <c r="K500" s="474">
        <f t="shared" si="205"/>
        <v>0</v>
      </c>
      <c r="L500" s="482">
        <f t="shared" si="205"/>
        <v>1110.6</v>
      </c>
      <c r="M500" s="494">
        <f t="shared" si="205"/>
        <v>0</v>
      </c>
      <c r="N500" s="3"/>
      <c r="O500" s="3"/>
    </row>
    <row r="501" spans="1:15" s="62" customFormat="1" ht="12.75">
      <c r="A501" s="81"/>
      <c r="B501" s="1"/>
      <c r="C501" s="1" t="s">
        <v>225</v>
      </c>
      <c r="D501" s="16" t="s">
        <v>226</v>
      </c>
      <c r="E501" s="74">
        <f t="shared" si="203"/>
        <v>1891.8</v>
      </c>
      <c r="F501" s="452">
        <f>F502</f>
        <v>0</v>
      </c>
      <c r="G501" s="142">
        <f t="shared" si="205"/>
        <v>0</v>
      </c>
      <c r="H501" s="462">
        <f t="shared" si="205"/>
        <v>0</v>
      </c>
      <c r="I501" s="90">
        <f t="shared" si="205"/>
        <v>781.2</v>
      </c>
      <c r="J501" s="94">
        <f t="shared" si="205"/>
        <v>0</v>
      </c>
      <c r="K501" s="474">
        <f t="shared" si="205"/>
        <v>0</v>
      </c>
      <c r="L501" s="482">
        <f t="shared" si="205"/>
        <v>1110.6</v>
      </c>
      <c r="M501" s="494">
        <f t="shared" si="205"/>
        <v>0</v>
      </c>
      <c r="N501" s="3"/>
      <c r="O501" s="3"/>
    </row>
    <row r="502" spans="1:15" s="62" customFormat="1" ht="15" customHeight="1">
      <c r="A502" s="81"/>
      <c r="B502" s="1"/>
      <c r="C502" s="1" t="s">
        <v>128</v>
      </c>
      <c r="D502" s="16" t="s">
        <v>1211</v>
      </c>
      <c r="E502" s="74">
        <f t="shared" si="203"/>
        <v>1891.8</v>
      </c>
      <c r="F502" s="452"/>
      <c r="G502" s="142"/>
      <c r="H502" s="462"/>
      <c r="I502" s="90">
        <v>781.2</v>
      </c>
      <c r="J502" s="94"/>
      <c r="K502" s="474"/>
      <c r="L502" s="482">
        <v>1110.6</v>
      </c>
      <c r="M502" s="494"/>
      <c r="N502" s="3"/>
      <c r="O502" s="3"/>
    </row>
    <row r="503" spans="1:15" s="62" customFormat="1" ht="38.25">
      <c r="A503" s="81"/>
      <c r="B503" s="1" t="s">
        <v>262</v>
      </c>
      <c r="C503" s="1"/>
      <c r="D503" s="5" t="s">
        <v>170</v>
      </c>
      <c r="E503" s="74">
        <f t="shared" si="203"/>
        <v>55.8</v>
      </c>
      <c r="F503" s="452">
        <f>F504</f>
        <v>0</v>
      </c>
      <c r="G503" s="142">
        <f aca="true" t="shared" si="206" ref="G503:M504">G504</f>
        <v>0</v>
      </c>
      <c r="H503" s="462">
        <f t="shared" si="206"/>
        <v>0</v>
      </c>
      <c r="I503" s="90">
        <f t="shared" si="206"/>
        <v>55.8</v>
      </c>
      <c r="J503" s="94">
        <f t="shared" si="206"/>
        <v>0</v>
      </c>
      <c r="K503" s="474">
        <f t="shared" si="206"/>
        <v>0</v>
      </c>
      <c r="L503" s="482">
        <f t="shared" si="206"/>
        <v>0</v>
      </c>
      <c r="M503" s="494">
        <f t="shared" si="206"/>
        <v>0</v>
      </c>
      <c r="N503" s="3"/>
      <c r="O503" s="3"/>
    </row>
    <row r="504" spans="1:15" s="62" customFormat="1" ht="12.75">
      <c r="A504" s="81"/>
      <c r="B504" s="1"/>
      <c r="C504" s="1" t="s">
        <v>225</v>
      </c>
      <c r="D504" s="16" t="s">
        <v>226</v>
      </c>
      <c r="E504" s="74">
        <f t="shared" si="203"/>
        <v>55.8</v>
      </c>
      <c r="F504" s="452">
        <f>F505</f>
        <v>0</v>
      </c>
      <c r="G504" s="142">
        <f t="shared" si="206"/>
        <v>0</v>
      </c>
      <c r="H504" s="462">
        <f t="shared" si="206"/>
        <v>0</v>
      </c>
      <c r="I504" s="90">
        <f t="shared" si="206"/>
        <v>55.8</v>
      </c>
      <c r="J504" s="94">
        <f t="shared" si="206"/>
        <v>0</v>
      </c>
      <c r="K504" s="474">
        <f t="shared" si="206"/>
        <v>0</v>
      </c>
      <c r="L504" s="482">
        <f t="shared" si="206"/>
        <v>0</v>
      </c>
      <c r="M504" s="494">
        <f t="shared" si="206"/>
        <v>0</v>
      </c>
      <c r="N504" s="3"/>
      <c r="O504" s="3"/>
    </row>
    <row r="505" spans="1:15" s="62" customFormat="1" ht="15" customHeight="1">
      <c r="A505" s="81"/>
      <c r="B505" s="1"/>
      <c r="C505" s="1" t="s">
        <v>128</v>
      </c>
      <c r="D505" s="16" t="s">
        <v>1211</v>
      </c>
      <c r="E505" s="74">
        <f t="shared" si="203"/>
        <v>55.8</v>
      </c>
      <c r="F505" s="452"/>
      <c r="G505" s="142"/>
      <c r="H505" s="462"/>
      <c r="I505" s="90">
        <v>55.8</v>
      </c>
      <c r="J505" s="94"/>
      <c r="K505" s="474"/>
      <c r="L505" s="482"/>
      <c r="M505" s="494"/>
      <c r="N505" s="3"/>
      <c r="O505" s="3"/>
    </row>
    <row r="506" spans="1:15" s="62" customFormat="1" ht="40.5" customHeight="1">
      <c r="A506" s="81"/>
      <c r="B506" s="59" t="s">
        <v>1066</v>
      </c>
      <c r="C506" s="1"/>
      <c r="D506" s="16" t="s">
        <v>1067</v>
      </c>
      <c r="E506" s="74">
        <f>E507</f>
        <v>2601.672</v>
      </c>
      <c r="F506" s="451">
        <f aca="true" t="shared" si="207" ref="F506:M507">F507</f>
        <v>0</v>
      </c>
      <c r="G506" s="141">
        <f t="shared" si="207"/>
        <v>0</v>
      </c>
      <c r="H506" s="461">
        <f t="shared" si="207"/>
        <v>0</v>
      </c>
      <c r="I506" s="89">
        <f t="shared" si="207"/>
        <v>0</v>
      </c>
      <c r="J506" s="93">
        <f t="shared" si="207"/>
        <v>0</v>
      </c>
      <c r="K506" s="471">
        <f t="shared" si="207"/>
        <v>0</v>
      </c>
      <c r="L506" s="481">
        <f t="shared" si="207"/>
        <v>2601.672</v>
      </c>
      <c r="M506" s="491">
        <f t="shared" si="207"/>
        <v>0</v>
      </c>
      <c r="N506" s="3"/>
      <c r="O506" s="3"/>
    </row>
    <row r="507" spans="1:15" s="62" customFormat="1" ht="15" customHeight="1">
      <c r="A507" s="81"/>
      <c r="B507" s="59"/>
      <c r="C507" s="1" t="s">
        <v>225</v>
      </c>
      <c r="D507" s="16" t="s">
        <v>226</v>
      </c>
      <c r="E507" s="74">
        <f>E508</f>
        <v>2601.672</v>
      </c>
      <c r="F507" s="451">
        <f t="shared" si="207"/>
        <v>0</v>
      </c>
      <c r="G507" s="141">
        <f t="shared" si="207"/>
        <v>0</v>
      </c>
      <c r="H507" s="461">
        <f t="shared" si="207"/>
        <v>0</v>
      </c>
      <c r="I507" s="89">
        <f t="shared" si="207"/>
        <v>0</v>
      </c>
      <c r="J507" s="93">
        <f t="shared" si="207"/>
        <v>0</v>
      </c>
      <c r="K507" s="471">
        <f t="shared" si="207"/>
        <v>0</v>
      </c>
      <c r="L507" s="481">
        <f t="shared" si="207"/>
        <v>2601.672</v>
      </c>
      <c r="M507" s="491">
        <f t="shared" si="207"/>
        <v>0</v>
      </c>
      <c r="N507" s="3"/>
      <c r="O507" s="3"/>
    </row>
    <row r="508" spans="1:15" s="62" customFormat="1" ht="15" customHeight="1">
      <c r="A508" s="81"/>
      <c r="B508" s="59"/>
      <c r="C508" s="1" t="s">
        <v>342</v>
      </c>
      <c r="D508" s="16" t="s">
        <v>345</v>
      </c>
      <c r="E508" s="74">
        <f t="shared" si="203"/>
        <v>2601.672</v>
      </c>
      <c r="F508" s="452"/>
      <c r="G508" s="142"/>
      <c r="H508" s="462"/>
      <c r="I508" s="90"/>
      <c r="J508" s="94"/>
      <c r="K508" s="474"/>
      <c r="L508" s="482">
        <v>2601.672</v>
      </c>
      <c r="M508" s="494"/>
      <c r="N508" s="3"/>
      <c r="O508" s="3"/>
    </row>
    <row r="509" spans="1:15" s="62" customFormat="1" ht="37.5" customHeight="1">
      <c r="A509" s="81"/>
      <c r="B509" s="1" t="s">
        <v>307</v>
      </c>
      <c r="C509" s="1"/>
      <c r="D509" s="16" t="s">
        <v>309</v>
      </c>
      <c r="E509" s="74">
        <f t="shared" si="203"/>
        <v>1146.123</v>
      </c>
      <c r="F509" s="452">
        <f>F510</f>
        <v>0</v>
      </c>
      <c r="G509" s="142">
        <f aca="true" t="shared" si="208" ref="G509:M511">G510</f>
        <v>0</v>
      </c>
      <c r="H509" s="462">
        <f t="shared" si="208"/>
        <v>0</v>
      </c>
      <c r="I509" s="90">
        <f t="shared" si="208"/>
        <v>0</v>
      </c>
      <c r="J509" s="94">
        <f t="shared" si="208"/>
        <v>0</v>
      </c>
      <c r="K509" s="474">
        <f t="shared" si="208"/>
        <v>0</v>
      </c>
      <c r="L509" s="482">
        <f t="shared" si="208"/>
        <v>1146.123</v>
      </c>
      <c r="M509" s="494">
        <f t="shared" si="208"/>
        <v>0</v>
      </c>
      <c r="N509" s="3"/>
      <c r="O509" s="3"/>
    </row>
    <row r="510" spans="1:15" s="62" customFormat="1" ht="25.5">
      <c r="A510" s="81"/>
      <c r="B510" s="1" t="s">
        <v>308</v>
      </c>
      <c r="C510" s="1"/>
      <c r="D510" s="16" t="s">
        <v>141</v>
      </c>
      <c r="E510" s="74">
        <f t="shared" si="203"/>
        <v>1146.123</v>
      </c>
      <c r="F510" s="452">
        <f>F511</f>
        <v>0</v>
      </c>
      <c r="G510" s="142">
        <f t="shared" si="208"/>
        <v>0</v>
      </c>
      <c r="H510" s="462">
        <f t="shared" si="208"/>
        <v>0</v>
      </c>
      <c r="I510" s="90">
        <f t="shared" si="208"/>
        <v>0</v>
      </c>
      <c r="J510" s="94">
        <f t="shared" si="208"/>
        <v>0</v>
      </c>
      <c r="K510" s="474">
        <f t="shared" si="208"/>
        <v>0</v>
      </c>
      <c r="L510" s="482">
        <f t="shared" si="208"/>
        <v>1146.123</v>
      </c>
      <c r="M510" s="494">
        <f t="shared" si="208"/>
        <v>0</v>
      </c>
      <c r="N510" s="3"/>
      <c r="O510" s="3"/>
    </row>
    <row r="511" spans="1:15" s="62" customFormat="1" ht="12.75">
      <c r="A511" s="81"/>
      <c r="B511" s="1"/>
      <c r="C511" s="1" t="s">
        <v>225</v>
      </c>
      <c r="D511" s="16" t="s">
        <v>226</v>
      </c>
      <c r="E511" s="74">
        <f t="shared" si="203"/>
        <v>1146.123</v>
      </c>
      <c r="F511" s="452">
        <f>F512</f>
        <v>0</v>
      </c>
      <c r="G511" s="142">
        <f t="shared" si="208"/>
        <v>0</v>
      </c>
      <c r="H511" s="462">
        <f t="shared" si="208"/>
        <v>0</v>
      </c>
      <c r="I511" s="90">
        <f t="shared" si="208"/>
        <v>0</v>
      </c>
      <c r="J511" s="94">
        <f t="shared" si="208"/>
        <v>0</v>
      </c>
      <c r="K511" s="474">
        <f t="shared" si="208"/>
        <v>0</v>
      </c>
      <c r="L511" s="482">
        <f t="shared" si="208"/>
        <v>1146.123</v>
      </c>
      <c r="M511" s="494">
        <f t="shared" si="208"/>
        <v>0</v>
      </c>
      <c r="N511" s="3"/>
      <c r="O511" s="3"/>
    </row>
    <row r="512" spans="1:15" s="62" customFormat="1" ht="16.5" customHeight="1">
      <c r="A512" s="81"/>
      <c r="B512" s="1"/>
      <c r="C512" s="1" t="s">
        <v>128</v>
      </c>
      <c r="D512" s="16" t="s">
        <v>1211</v>
      </c>
      <c r="E512" s="74">
        <f t="shared" si="203"/>
        <v>1146.123</v>
      </c>
      <c r="F512" s="452"/>
      <c r="G512" s="142"/>
      <c r="H512" s="462"/>
      <c r="I512" s="90"/>
      <c r="J512" s="94"/>
      <c r="K512" s="474"/>
      <c r="L512" s="482">
        <v>1146.123</v>
      </c>
      <c r="M512" s="494"/>
      <c r="N512" s="3"/>
      <c r="O512" s="3"/>
    </row>
    <row r="513" spans="1:15" s="62" customFormat="1" ht="12.75">
      <c r="A513" s="81"/>
      <c r="B513" s="1" t="s">
        <v>105</v>
      </c>
      <c r="C513" s="1"/>
      <c r="D513" s="16" t="s">
        <v>106</v>
      </c>
      <c r="E513" s="74">
        <f t="shared" si="203"/>
        <v>3070.1859999999997</v>
      </c>
      <c r="F513" s="452">
        <f>F514</f>
        <v>0</v>
      </c>
      <c r="G513" s="142">
        <f aca="true" t="shared" si="209" ref="G513:M515">G514</f>
        <v>0</v>
      </c>
      <c r="H513" s="462">
        <f t="shared" si="209"/>
        <v>0</v>
      </c>
      <c r="I513" s="90">
        <f t="shared" si="209"/>
        <v>0</v>
      </c>
      <c r="J513" s="94">
        <f t="shared" si="209"/>
        <v>0</v>
      </c>
      <c r="K513" s="474">
        <f t="shared" si="209"/>
        <v>0</v>
      </c>
      <c r="L513" s="482">
        <f>L514</f>
        <v>3070.1859999999997</v>
      </c>
      <c r="M513" s="494">
        <f t="shared" si="209"/>
        <v>0</v>
      </c>
      <c r="N513" s="3"/>
      <c r="O513" s="3"/>
    </row>
    <row r="514" spans="1:15" s="62" customFormat="1" ht="25.5">
      <c r="A514" s="81"/>
      <c r="B514" s="1" t="s">
        <v>316</v>
      </c>
      <c r="C514" s="1"/>
      <c r="D514" s="16" t="s">
        <v>171</v>
      </c>
      <c r="E514" s="74">
        <f t="shared" si="203"/>
        <v>3070.1859999999997</v>
      </c>
      <c r="F514" s="452">
        <f>F515</f>
        <v>0</v>
      </c>
      <c r="G514" s="142">
        <f t="shared" si="209"/>
        <v>0</v>
      </c>
      <c r="H514" s="462">
        <f t="shared" si="209"/>
        <v>0</v>
      </c>
      <c r="I514" s="90">
        <f t="shared" si="209"/>
        <v>0</v>
      </c>
      <c r="J514" s="94">
        <f t="shared" si="209"/>
        <v>0</v>
      </c>
      <c r="K514" s="474">
        <f t="shared" si="209"/>
        <v>0</v>
      </c>
      <c r="L514" s="482">
        <f t="shared" si="209"/>
        <v>3070.1859999999997</v>
      </c>
      <c r="M514" s="494">
        <f t="shared" si="209"/>
        <v>0</v>
      </c>
      <c r="N514" s="3"/>
      <c r="O514" s="3"/>
    </row>
    <row r="515" spans="1:15" s="62" customFormat="1" ht="12.75">
      <c r="A515" s="81"/>
      <c r="B515" s="1"/>
      <c r="C515" s="1" t="s">
        <v>225</v>
      </c>
      <c r="D515" s="16" t="s">
        <v>226</v>
      </c>
      <c r="E515" s="74">
        <f t="shared" si="203"/>
        <v>3070.1859999999997</v>
      </c>
      <c r="F515" s="452">
        <f>F516</f>
        <v>0</v>
      </c>
      <c r="G515" s="142">
        <f t="shared" si="209"/>
        <v>0</v>
      </c>
      <c r="H515" s="462">
        <f t="shared" si="209"/>
        <v>0</v>
      </c>
      <c r="I515" s="90">
        <f t="shared" si="209"/>
        <v>0</v>
      </c>
      <c r="J515" s="94">
        <f t="shared" si="209"/>
        <v>0</v>
      </c>
      <c r="K515" s="474">
        <f t="shared" si="209"/>
        <v>0</v>
      </c>
      <c r="L515" s="482">
        <f t="shared" si="209"/>
        <v>3070.1859999999997</v>
      </c>
      <c r="M515" s="494">
        <f t="shared" si="209"/>
        <v>0</v>
      </c>
      <c r="N515" s="3"/>
      <c r="O515" s="3"/>
    </row>
    <row r="516" spans="1:15" s="62" customFormat="1" ht="14.25" customHeight="1">
      <c r="A516" s="81"/>
      <c r="B516" s="1"/>
      <c r="C516" s="1" t="s">
        <v>128</v>
      </c>
      <c r="D516" s="16" t="s">
        <v>1211</v>
      </c>
      <c r="E516" s="74">
        <f t="shared" si="203"/>
        <v>3070.1859999999997</v>
      </c>
      <c r="F516" s="452"/>
      <c r="G516" s="142"/>
      <c r="H516" s="462"/>
      <c r="I516" s="90"/>
      <c r="J516" s="94"/>
      <c r="K516" s="474"/>
      <c r="L516" s="482">
        <f>333.18+2737.006</f>
        <v>3070.1859999999997</v>
      </c>
      <c r="M516" s="494"/>
      <c r="N516" s="3"/>
      <c r="O516" s="3"/>
    </row>
    <row r="517" spans="1:15" s="62" customFormat="1" ht="12.75">
      <c r="A517" s="81"/>
      <c r="B517" s="1" t="s">
        <v>54</v>
      </c>
      <c r="C517" s="1"/>
      <c r="D517" s="16" t="s">
        <v>55</v>
      </c>
      <c r="E517" s="74">
        <f t="shared" si="203"/>
        <v>3271.379</v>
      </c>
      <c r="F517" s="452">
        <f>F518</f>
        <v>0</v>
      </c>
      <c r="G517" s="142">
        <f aca="true" t="shared" si="210" ref="G517:M520">G518</f>
        <v>0</v>
      </c>
      <c r="H517" s="462">
        <f t="shared" si="210"/>
        <v>0</v>
      </c>
      <c r="I517" s="90">
        <f t="shared" si="210"/>
        <v>0</v>
      </c>
      <c r="J517" s="94">
        <f t="shared" si="210"/>
        <v>1024.38</v>
      </c>
      <c r="K517" s="474">
        <f t="shared" si="210"/>
        <v>0</v>
      </c>
      <c r="L517" s="482">
        <f>L518</f>
        <v>2246.999</v>
      </c>
      <c r="M517" s="494">
        <f t="shared" si="210"/>
        <v>0</v>
      </c>
      <c r="N517" s="3"/>
      <c r="O517" s="3"/>
    </row>
    <row r="518" spans="1:15" s="62" customFormat="1" ht="12.75">
      <c r="A518" s="81"/>
      <c r="B518" s="1" t="s">
        <v>56</v>
      </c>
      <c r="C518" s="1"/>
      <c r="D518" s="16" t="s">
        <v>57</v>
      </c>
      <c r="E518" s="74">
        <f t="shared" si="203"/>
        <v>3271.379</v>
      </c>
      <c r="F518" s="452">
        <f>F519+F522</f>
        <v>0</v>
      </c>
      <c r="G518" s="142">
        <f aca="true" t="shared" si="211" ref="G518:M518">G519+G522</f>
        <v>0</v>
      </c>
      <c r="H518" s="462">
        <f t="shared" si="211"/>
        <v>0</v>
      </c>
      <c r="I518" s="90">
        <f t="shared" si="211"/>
        <v>0</v>
      </c>
      <c r="J518" s="94">
        <f t="shared" si="211"/>
        <v>1024.38</v>
      </c>
      <c r="K518" s="474">
        <f t="shared" si="211"/>
        <v>0</v>
      </c>
      <c r="L518" s="482">
        <f>L519+L522</f>
        <v>2246.999</v>
      </c>
      <c r="M518" s="494">
        <f t="shared" si="211"/>
        <v>0</v>
      </c>
      <c r="N518" s="3"/>
      <c r="O518" s="3"/>
    </row>
    <row r="519" spans="1:15" s="62" customFormat="1" ht="25.5">
      <c r="A519" s="81"/>
      <c r="B519" s="1" t="s">
        <v>116</v>
      </c>
      <c r="C519" s="1"/>
      <c r="D519" s="16" t="s">
        <v>117</v>
      </c>
      <c r="E519" s="74">
        <f t="shared" si="203"/>
        <v>1173.419</v>
      </c>
      <c r="F519" s="452">
        <f>F520</f>
        <v>0</v>
      </c>
      <c r="G519" s="142">
        <f t="shared" si="210"/>
        <v>0</v>
      </c>
      <c r="H519" s="462">
        <f t="shared" si="210"/>
        <v>0</v>
      </c>
      <c r="I519" s="90">
        <f t="shared" si="210"/>
        <v>0</v>
      </c>
      <c r="J519" s="94">
        <f t="shared" si="210"/>
        <v>0</v>
      </c>
      <c r="K519" s="474">
        <f t="shared" si="210"/>
        <v>0</v>
      </c>
      <c r="L519" s="482">
        <f t="shared" si="210"/>
        <v>1173.419</v>
      </c>
      <c r="M519" s="494">
        <f t="shared" si="210"/>
        <v>0</v>
      </c>
      <c r="N519" s="3"/>
      <c r="O519" s="3"/>
    </row>
    <row r="520" spans="1:15" s="62" customFormat="1" ht="12.75">
      <c r="A520" s="81"/>
      <c r="B520" s="1"/>
      <c r="C520" s="1" t="s">
        <v>225</v>
      </c>
      <c r="D520" s="16" t="s">
        <v>226</v>
      </c>
      <c r="E520" s="74">
        <f t="shared" si="203"/>
        <v>1173.419</v>
      </c>
      <c r="F520" s="452">
        <f>F521</f>
        <v>0</v>
      </c>
      <c r="G520" s="142">
        <f t="shared" si="210"/>
        <v>0</v>
      </c>
      <c r="H520" s="462">
        <f t="shared" si="210"/>
        <v>0</v>
      </c>
      <c r="I520" s="90">
        <f t="shared" si="210"/>
        <v>0</v>
      </c>
      <c r="J520" s="94">
        <f t="shared" si="210"/>
        <v>0</v>
      </c>
      <c r="K520" s="474">
        <f t="shared" si="210"/>
        <v>0</v>
      </c>
      <c r="L520" s="482">
        <f t="shared" si="210"/>
        <v>1173.419</v>
      </c>
      <c r="M520" s="494">
        <f t="shared" si="210"/>
        <v>0</v>
      </c>
      <c r="N520" s="3"/>
      <c r="O520" s="3"/>
    </row>
    <row r="521" spans="1:15" s="62" customFormat="1" ht="11.25" customHeight="1">
      <c r="A521" s="81"/>
      <c r="B521" s="1"/>
      <c r="C521" s="1" t="s">
        <v>128</v>
      </c>
      <c r="D521" s="16" t="s">
        <v>1211</v>
      </c>
      <c r="E521" s="74">
        <f t="shared" si="203"/>
        <v>1173.419</v>
      </c>
      <c r="F521" s="452"/>
      <c r="G521" s="142"/>
      <c r="H521" s="462"/>
      <c r="I521" s="90"/>
      <c r="J521" s="94"/>
      <c r="K521" s="474"/>
      <c r="L521" s="482">
        <f>1287.419-144+30</f>
        <v>1173.419</v>
      </c>
      <c r="M521" s="494"/>
      <c r="N521" s="3"/>
      <c r="O521" s="3"/>
    </row>
    <row r="522" spans="1:15" s="62" customFormat="1" ht="25.5">
      <c r="A522" s="81"/>
      <c r="B522" s="59" t="s">
        <v>306</v>
      </c>
      <c r="C522" s="1"/>
      <c r="D522" s="16" t="s">
        <v>197</v>
      </c>
      <c r="E522" s="74">
        <f t="shared" si="203"/>
        <v>2097.96</v>
      </c>
      <c r="F522" s="452">
        <f>F523</f>
        <v>0</v>
      </c>
      <c r="G522" s="142">
        <f aca="true" t="shared" si="212" ref="G522:M523">G523</f>
        <v>0</v>
      </c>
      <c r="H522" s="462">
        <f t="shared" si="212"/>
        <v>0</v>
      </c>
      <c r="I522" s="90">
        <f t="shared" si="212"/>
        <v>0</v>
      </c>
      <c r="J522" s="94">
        <f t="shared" si="212"/>
        <v>1024.38</v>
      </c>
      <c r="K522" s="474">
        <f t="shared" si="212"/>
        <v>0</v>
      </c>
      <c r="L522" s="482">
        <f t="shared" si="212"/>
        <v>1073.58</v>
      </c>
      <c r="M522" s="494">
        <f t="shared" si="212"/>
        <v>0</v>
      </c>
      <c r="N522" s="3"/>
      <c r="O522" s="3"/>
    </row>
    <row r="523" spans="1:15" s="62" customFormat="1" ht="12.75">
      <c r="A523" s="81"/>
      <c r="B523" s="59"/>
      <c r="C523" s="1" t="s">
        <v>225</v>
      </c>
      <c r="D523" s="16" t="s">
        <v>226</v>
      </c>
      <c r="E523" s="74">
        <f t="shared" si="203"/>
        <v>2097.96</v>
      </c>
      <c r="F523" s="452">
        <f>F524</f>
        <v>0</v>
      </c>
      <c r="G523" s="142">
        <f t="shared" si="212"/>
        <v>0</v>
      </c>
      <c r="H523" s="462">
        <f t="shared" si="212"/>
        <v>0</v>
      </c>
      <c r="I523" s="90">
        <f t="shared" si="212"/>
        <v>0</v>
      </c>
      <c r="J523" s="94">
        <f t="shared" si="212"/>
        <v>1024.38</v>
      </c>
      <c r="K523" s="474">
        <f t="shared" si="212"/>
        <v>0</v>
      </c>
      <c r="L523" s="482">
        <f t="shared" si="212"/>
        <v>1073.58</v>
      </c>
      <c r="M523" s="494">
        <f t="shared" si="212"/>
        <v>0</v>
      </c>
      <c r="N523" s="3"/>
      <c r="O523" s="3"/>
    </row>
    <row r="524" spans="1:15" s="62" customFormat="1" ht="15" customHeight="1">
      <c r="A524" s="81"/>
      <c r="B524" s="59"/>
      <c r="C524" s="1" t="s">
        <v>128</v>
      </c>
      <c r="D524" s="16" t="s">
        <v>1211</v>
      </c>
      <c r="E524" s="74">
        <f t="shared" si="203"/>
        <v>2097.96</v>
      </c>
      <c r="F524" s="452"/>
      <c r="G524" s="142"/>
      <c r="H524" s="462"/>
      <c r="I524" s="90"/>
      <c r="J524" s="94">
        <v>1024.38</v>
      </c>
      <c r="K524" s="474"/>
      <c r="L524" s="482">
        <v>1073.58</v>
      </c>
      <c r="M524" s="494"/>
      <c r="N524" s="3"/>
      <c r="O524" s="3"/>
    </row>
    <row r="525" spans="1:15" s="62" customFormat="1" ht="12.75">
      <c r="A525" s="550">
        <v>1004</v>
      </c>
      <c r="B525" s="59"/>
      <c r="C525" s="1"/>
      <c r="D525" s="16" t="s">
        <v>119</v>
      </c>
      <c r="E525" s="74">
        <f>E526</f>
        <v>-46678.487</v>
      </c>
      <c r="F525" s="451">
        <f aca="true" t="shared" si="213" ref="F525:M528">F526</f>
        <v>0</v>
      </c>
      <c r="G525" s="141">
        <f t="shared" si="213"/>
        <v>0</v>
      </c>
      <c r="H525" s="461">
        <f t="shared" si="213"/>
        <v>0</v>
      </c>
      <c r="I525" s="89">
        <f t="shared" si="213"/>
        <v>-49278.5</v>
      </c>
      <c r="J525" s="93">
        <f t="shared" si="213"/>
        <v>0</v>
      </c>
      <c r="K525" s="471">
        <f t="shared" si="213"/>
        <v>0</v>
      </c>
      <c r="L525" s="481">
        <f t="shared" si="213"/>
        <v>2600.013</v>
      </c>
      <c r="M525" s="491">
        <f t="shared" si="213"/>
        <v>0</v>
      </c>
      <c r="N525" s="3"/>
      <c r="O525" s="3"/>
    </row>
    <row r="526" spans="1:15" s="62" customFormat="1" ht="12.75">
      <c r="A526" s="81"/>
      <c r="B526" s="1" t="s">
        <v>66</v>
      </c>
      <c r="C526" s="1"/>
      <c r="D526" s="5" t="s">
        <v>67</v>
      </c>
      <c r="E526" s="74">
        <f>E527</f>
        <v>-46678.487</v>
      </c>
      <c r="F526" s="451">
        <f t="shared" si="213"/>
        <v>0</v>
      </c>
      <c r="G526" s="141">
        <f t="shared" si="213"/>
        <v>0</v>
      </c>
      <c r="H526" s="461">
        <f t="shared" si="213"/>
        <v>0</v>
      </c>
      <c r="I526" s="89">
        <f t="shared" si="213"/>
        <v>-49278.5</v>
      </c>
      <c r="J526" s="93">
        <f t="shared" si="213"/>
        <v>0</v>
      </c>
      <c r="K526" s="471">
        <f t="shared" si="213"/>
        <v>0</v>
      </c>
      <c r="L526" s="481">
        <f t="shared" si="213"/>
        <v>2600.013</v>
      </c>
      <c r="M526" s="491">
        <f t="shared" si="213"/>
        <v>0</v>
      </c>
      <c r="N526" s="3"/>
      <c r="O526" s="3"/>
    </row>
    <row r="527" spans="1:15" s="62" customFormat="1" ht="25.5">
      <c r="A527" s="81"/>
      <c r="B527" s="59" t="s">
        <v>236</v>
      </c>
      <c r="C527" s="1"/>
      <c r="D527" s="16" t="s">
        <v>237</v>
      </c>
      <c r="E527" s="74">
        <f>E528</f>
        <v>-46678.487</v>
      </c>
      <c r="F527" s="451">
        <f t="shared" si="213"/>
        <v>0</v>
      </c>
      <c r="G527" s="141">
        <f t="shared" si="213"/>
        <v>0</v>
      </c>
      <c r="H527" s="461">
        <f t="shared" si="213"/>
        <v>0</v>
      </c>
      <c r="I527" s="89">
        <f t="shared" si="213"/>
        <v>-49278.5</v>
      </c>
      <c r="J527" s="93">
        <f t="shared" si="213"/>
        <v>0</v>
      </c>
      <c r="K527" s="471">
        <f t="shared" si="213"/>
        <v>0</v>
      </c>
      <c r="L527" s="481">
        <f t="shared" si="213"/>
        <v>2600.013</v>
      </c>
      <c r="M527" s="491">
        <f t="shared" si="213"/>
        <v>0</v>
      </c>
      <c r="N527" s="3"/>
      <c r="O527" s="3"/>
    </row>
    <row r="528" spans="1:15" s="62" customFormat="1" ht="12.75">
      <c r="A528" s="81"/>
      <c r="B528" s="59"/>
      <c r="C528" s="1" t="s">
        <v>212</v>
      </c>
      <c r="D528" s="16" t="s">
        <v>45</v>
      </c>
      <c r="E528" s="74">
        <f>E529</f>
        <v>-46678.487</v>
      </c>
      <c r="F528" s="451">
        <f t="shared" si="213"/>
        <v>0</v>
      </c>
      <c r="G528" s="141">
        <f t="shared" si="213"/>
        <v>0</v>
      </c>
      <c r="H528" s="461">
        <f t="shared" si="213"/>
        <v>0</v>
      </c>
      <c r="I528" s="89">
        <f t="shared" si="213"/>
        <v>-49278.5</v>
      </c>
      <c r="J528" s="93">
        <f t="shared" si="213"/>
        <v>0</v>
      </c>
      <c r="K528" s="471">
        <f t="shared" si="213"/>
        <v>0</v>
      </c>
      <c r="L528" s="481">
        <f t="shared" si="213"/>
        <v>2600.013</v>
      </c>
      <c r="M528" s="491">
        <f t="shared" si="213"/>
        <v>0</v>
      </c>
      <c r="N528" s="3"/>
      <c r="O528" s="3"/>
    </row>
    <row r="529" spans="1:15" s="62" customFormat="1" ht="15" customHeight="1">
      <c r="A529" s="81"/>
      <c r="B529" s="59"/>
      <c r="C529" s="1" t="s">
        <v>190</v>
      </c>
      <c r="D529" s="16" t="s">
        <v>1212</v>
      </c>
      <c r="E529" s="74">
        <f>E530+E531</f>
        <v>-46678.487</v>
      </c>
      <c r="F529" s="451">
        <f aca="true" t="shared" si="214" ref="F529:M529">F530+F531</f>
        <v>0</v>
      </c>
      <c r="G529" s="141">
        <f t="shared" si="214"/>
        <v>0</v>
      </c>
      <c r="H529" s="461">
        <f t="shared" si="214"/>
        <v>0</v>
      </c>
      <c r="I529" s="89">
        <f t="shared" si="214"/>
        <v>-49278.5</v>
      </c>
      <c r="J529" s="93">
        <f t="shared" si="214"/>
        <v>0</v>
      </c>
      <c r="K529" s="471">
        <f t="shared" si="214"/>
        <v>0</v>
      </c>
      <c r="L529" s="481">
        <f t="shared" si="214"/>
        <v>2600.013</v>
      </c>
      <c r="M529" s="491">
        <f t="shared" si="214"/>
        <v>0</v>
      </c>
      <c r="N529" s="3"/>
      <c r="O529" s="3"/>
    </row>
    <row r="530" spans="1:15" s="62" customFormat="1" ht="38.25">
      <c r="A530" s="81"/>
      <c r="B530" s="1" t="s">
        <v>192</v>
      </c>
      <c r="C530" s="1"/>
      <c r="D530" s="16" t="s">
        <v>144</v>
      </c>
      <c r="E530" s="74">
        <f>F530+G530+H530+I530+J530+K530+L530+M530</f>
        <v>-28340.487</v>
      </c>
      <c r="F530" s="452"/>
      <c r="G530" s="142"/>
      <c r="H530" s="462"/>
      <c r="I530" s="90">
        <v>-30940.5</v>
      </c>
      <c r="J530" s="94"/>
      <c r="K530" s="474"/>
      <c r="L530" s="482">
        <v>2600.013</v>
      </c>
      <c r="M530" s="494"/>
      <c r="N530" s="3"/>
      <c r="O530" s="3"/>
    </row>
    <row r="531" spans="1:15" s="62" customFormat="1" ht="38.25">
      <c r="A531" s="81"/>
      <c r="B531" s="1" t="s">
        <v>263</v>
      </c>
      <c r="C531" s="1"/>
      <c r="D531" s="16" t="s">
        <v>184</v>
      </c>
      <c r="E531" s="74">
        <f>F531+G531+H531+I531+J531+K531+L531+M531</f>
        <v>-18338</v>
      </c>
      <c r="F531" s="452"/>
      <c r="G531" s="142"/>
      <c r="H531" s="462"/>
      <c r="I531" s="90">
        <v>-18338</v>
      </c>
      <c r="J531" s="94"/>
      <c r="K531" s="474"/>
      <c r="L531" s="482"/>
      <c r="M531" s="494"/>
      <c r="N531" s="3"/>
      <c r="O531" s="3"/>
    </row>
    <row r="532" spans="1:15" s="67" customFormat="1" ht="12.75">
      <c r="A532" s="10" t="s">
        <v>68</v>
      </c>
      <c r="B532" s="10"/>
      <c r="C532" s="10"/>
      <c r="D532" s="15" t="s">
        <v>69</v>
      </c>
      <c r="E532" s="425">
        <f aca="true" t="shared" si="215" ref="E532:E570">F532+G532+H532+I532+J532+K532+L532+M532</f>
        <v>13759.493</v>
      </c>
      <c r="F532" s="453">
        <f>F533</f>
        <v>1857.6</v>
      </c>
      <c r="G532" s="143">
        <f aca="true" t="shared" si="216" ref="G532:M532">G533</f>
        <v>0</v>
      </c>
      <c r="H532" s="463">
        <f t="shared" si="216"/>
        <v>-4880</v>
      </c>
      <c r="I532" s="91">
        <f t="shared" si="216"/>
        <v>2786.9</v>
      </c>
      <c r="J532" s="95">
        <f t="shared" si="216"/>
        <v>1320</v>
      </c>
      <c r="K532" s="475">
        <f t="shared" si="216"/>
        <v>0</v>
      </c>
      <c r="L532" s="483">
        <f t="shared" si="216"/>
        <v>12674.993</v>
      </c>
      <c r="M532" s="495">
        <f t="shared" si="216"/>
        <v>0</v>
      </c>
      <c r="N532" s="76"/>
      <c r="O532" s="4"/>
    </row>
    <row r="533" spans="1:15" s="62" customFormat="1" ht="12.75">
      <c r="A533" s="1" t="s">
        <v>9</v>
      </c>
      <c r="B533" s="1"/>
      <c r="C533" s="1"/>
      <c r="D533" s="16" t="s">
        <v>70</v>
      </c>
      <c r="E533" s="74">
        <f>E534+E539+E546+E550+E560</f>
        <v>13759.493</v>
      </c>
      <c r="F533" s="451">
        <f aca="true" t="shared" si="217" ref="F533:M533">F534+F539+F546+F550+F560</f>
        <v>1857.6</v>
      </c>
      <c r="G533" s="141">
        <f t="shared" si="217"/>
        <v>0</v>
      </c>
      <c r="H533" s="461">
        <f t="shared" si="217"/>
        <v>-4880</v>
      </c>
      <c r="I533" s="89">
        <f t="shared" si="217"/>
        <v>2786.9</v>
      </c>
      <c r="J533" s="93">
        <f t="shared" si="217"/>
        <v>1320</v>
      </c>
      <c r="K533" s="471">
        <f t="shared" si="217"/>
        <v>0</v>
      </c>
      <c r="L533" s="481">
        <f t="shared" si="217"/>
        <v>12674.993</v>
      </c>
      <c r="M533" s="491">
        <f t="shared" si="217"/>
        <v>0</v>
      </c>
      <c r="N533" s="70"/>
      <c r="O533" s="3"/>
    </row>
    <row r="534" spans="1:15" s="62" customFormat="1" ht="25.5">
      <c r="A534" s="1"/>
      <c r="B534" s="1" t="s">
        <v>323</v>
      </c>
      <c r="C534" s="1"/>
      <c r="D534" s="16" t="s">
        <v>329</v>
      </c>
      <c r="E534" s="74">
        <f>E535</f>
        <v>-4880</v>
      </c>
      <c r="F534" s="451">
        <f aca="true" t="shared" si="218" ref="F534:M537">F535</f>
        <v>0</v>
      </c>
      <c r="G534" s="141">
        <f t="shared" si="218"/>
        <v>0</v>
      </c>
      <c r="H534" s="461">
        <f t="shared" si="218"/>
        <v>-4880</v>
      </c>
      <c r="I534" s="89">
        <f t="shared" si="218"/>
        <v>0</v>
      </c>
      <c r="J534" s="93">
        <f t="shared" si="218"/>
        <v>0</v>
      </c>
      <c r="K534" s="471">
        <f t="shared" si="218"/>
        <v>0</v>
      </c>
      <c r="L534" s="481">
        <f t="shared" si="218"/>
        <v>0</v>
      </c>
      <c r="M534" s="491">
        <f t="shared" si="218"/>
        <v>0</v>
      </c>
      <c r="N534" s="70"/>
      <c r="O534" s="3"/>
    </row>
    <row r="535" spans="1:15" s="62" customFormat="1" ht="12.75">
      <c r="A535" s="1"/>
      <c r="B535" s="1" t="s">
        <v>324</v>
      </c>
      <c r="C535" s="1"/>
      <c r="D535" s="16" t="s">
        <v>330</v>
      </c>
      <c r="E535" s="74">
        <f>E536</f>
        <v>-4880</v>
      </c>
      <c r="F535" s="451">
        <f t="shared" si="218"/>
        <v>0</v>
      </c>
      <c r="G535" s="141">
        <f t="shared" si="218"/>
        <v>0</v>
      </c>
      <c r="H535" s="461">
        <f t="shared" si="218"/>
        <v>-4880</v>
      </c>
      <c r="I535" s="89">
        <f t="shared" si="218"/>
        <v>0</v>
      </c>
      <c r="J535" s="93">
        <f t="shared" si="218"/>
        <v>0</v>
      </c>
      <c r="K535" s="471">
        <f t="shared" si="218"/>
        <v>0</v>
      </c>
      <c r="L535" s="481">
        <f t="shared" si="218"/>
        <v>0</v>
      </c>
      <c r="M535" s="491">
        <f t="shared" si="218"/>
        <v>0</v>
      </c>
      <c r="N535" s="70"/>
      <c r="O535" s="3"/>
    </row>
    <row r="536" spans="1:15" s="62" customFormat="1" ht="15" customHeight="1">
      <c r="A536" s="1"/>
      <c r="B536" s="1" t="s">
        <v>373</v>
      </c>
      <c r="C536" s="1"/>
      <c r="D536" s="16" t="s">
        <v>374</v>
      </c>
      <c r="E536" s="74">
        <f>E537</f>
        <v>-4880</v>
      </c>
      <c r="F536" s="451">
        <f t="shared" si="218"/>
        <v>0</v>
      </c>
      <c r="G536" s="141">
        <f t="shared" si="218"/>
        <v>0</v>
      </c>
      <c r="H536" s="461">
        <f t="shared" si="218"/>
        <v>-4880</v>
      </c>
      <c r="I536" s="89">
        <f t="shared" si="218"/>
        <v>0</v>
      </c>
      <c r="J536" s="93">
        <f t="shared" si="218"/>
        <v>0</v>
      </c>
      <c r="K536" s="471">
        <f t="shared" si="218"/>
        <v>0</v>
      </c>
      <c r="L536" s="481">
        <f t="shared" si="218"/>
        <v>0</v>
      </c>
      <c r="M536" s="491">
        <f t="shared" si="218"/>
        <v>0</v>
      </c>
      <c r="N536" s="70"/>
      <c r="O536" s="3"/>
    </row>
    <row r="537" spans="1:15" s="62" customFormat="1" ht="12.75">
      <c r="A537" s="1"/>
      <c r="B537" s="1"/>
      <c r="C537" s="1" t="s">
        <v>212</v>
      </c>
      <c r="D537" s="16" t="s">
        <v>45</v>
      </c>
      <c r="E537" s="74">
        <f>E538</f>
        <v>-4880</v>
      </c>
      <c r="F537" s="451">
        <f t="shared" si="218"/>
        <v>0</v>
      </c>
      <c r="G537" s="141">
        <f t="shared" si="218"/>
        <v>0</v>
      </c>
      <c r="H537" s="461">
        <f t="shared" si="218"/>
        <v>-4880</v>
      </c>
      <c r="I537" s="89">
        <f t="shared" si="218"/>
        <v>0</v>
      </c>
      <c r="J537" s="93">
        <f t="shared" si="218"/>
        <v>0</v>
      </c>
      <c r="K537" s="471">
        <f t="shared" si="218"/>
        <v>0</v>
      </c>
      <c r="L537" s="481">
        <f t="shared" si="218"/>
        <v>0</v>
      </c>
      <c r="M537" s="491">
        <f t="shared" si="218"/>
        <v>0</v>
      </c>
      <c r="N537" s="70"/>
      <c r="O537" s="3"/>
    </row>
    <row r="538" spans="1:15" s="62" customFormat="1" ht="25.5">
      <c r="A538" s="1"/>
      <c r="B538" s="1"/>
      <c r="C538" s="1" t="s">
        <v>125</v>
      </c>
      <c r="D538" s="16" t="s">
        <v>290</v>
      </c>
      <c r="E538" s="74">
        <f>F538+G538+H538+I538+J538+K538+L538+M538</f>
        <v>-4880</v>
      </c>
      <c r="F538" s="452"/>
      <c r="G538" s="142"/>
      <c r="H538" s="462">
        <v>-4880</v>
      </c>
      <c r="I538" s="90"/>
      <c r="J538" s="94"/>
      <c r="K538" s="474"/>
      <c r="L538" s="482"/>
      <c r="M538" s="494"/>
      <c r="N538" s="70"/>
      <c r="O538" s="3"/>
    </row>
    <row r="539" spans="1:15" s="62" customFormat="1" ht="12.75">
      <c r="A539" s="1"/>
      <c r="B539" s="1" t="s">
        <v>255</v>
      </c>
      <c r="C539" s="1"/>
      <c r="D539" s="16" t="s">
        <v>187</v>
      </c>
      <c r="E539" s="74">
        <f t="shared" si="215"/>
        <v>0</v>
      </c>
      <c r="F539" s="452">
        <f>F540</f>
        <v>0</v>
      </c>
      <c r="G539" s="142">
        <f aca="true" t="shared" si="219" ref="G539:M540">G540</f>
        <v>0</v>
      </c>
      <c r="H539" s="462">
        <f t="shared" si="219"/>
        <v>0</v>
      </c>
      <c r="I539" s="90">
        <f t="shared" si="219"/>
        <v>0</v>
      </c>
      <c r="J539" s="94">
        <f t="shared" si="219"/>
        <v>0</v>
      </c>
      <c r="K539" s="474">
        <f t="shared" si="219"/>
        <v>0</v>
      </c>
      <c r="L539" s="482">
        <f t="shared" si="219"/>
        <v>0</v>
      </c>
      <c r="M539" s="494">
        <f t="shared" si="219"/>
        <v>0</v>
      </c>
      <c r="N539" s="3"/>
      <c r="O539" s="3"/>
    </row>
    <row r="540" spans="1:15" s="62" customFormat="1" ht="12.75">
      <c r="A540" s="1"/>
      <c r="B540" s="1" t="s">
        <v>256</v>
      </c>
      <c r="C540" s="1"/>
      <c r="D540" s="16" t="s">
        <v>187</v>
      </c>
      <c r="E540" s="74">
        <f t="shared" si="215"/>
        <v>0</v>
      </c>
      <c r="F540" s="452">
        <f>F541</f>
        <v>0</v>
      </c>
      <c r="G540" s="142">
        <f t="shared" si="219"/>
        <v>0</v>
      </c>
      <c r="H540" s="462">
        <f t="shared" si="219"/>
        <v>0</v>
      </c>
      <c r="I540" s="90">
        <f t="shared" si="219"/>
        <v>0</v>
      </c>
      <c r="J540" s="94">
        <f t="shared" si="219"/>
        <v>0</v>
      </c>
      <c r="K540" s="474">
        <f t="shared" si="219"/>
        <v>0</v>
      </c>
      <c r="L540" s="482">
        <f t="shared" si="219"/>
        <v>0</v>
      </c>
      <c r="M540" s="494">
        <f t="shared" si="219"/>
        <v>0</v>
      </c>
      <c r="N540" s="3"/>
      <c r="O540" s="3"/>
    </row>
    <row r="541" spans="1:15" s="62" customFormat="1" ht="12.75">
      <c r="A541" s="1"/>
      <c r="B541" s="1" t="s">
        <v>257</v>
      </c>
      <c r="C541" s="1"/>
      <c r="D541" s="16" t="s">
        <v>187</v>
      </c>
      <c r="E541" s="74">
        <f t="shared" si="215"/>
        <v>0</v>
      </c>
      <c r="F541" s="452">
        <f>F542+F544</f>
        <v>0</v>
      </c>
      <c r="G541" s="142">
        <f aca="true" t="shared" si="220" ref="G541:M541">G542+G544</f>
        <v>0</v>
      </c>
      <c r="H541" s="462">
        <f t="shared" si="220"/>
        <v>0</v>
      </c>
      <c r="I541" s="90">
        <f t="shared" si="220"/>
        <v>0</v>
      </c>
      <c r="J541" s="94">
        <f t="shared" si="220"/>
        <v>0</v>
      </c>
      <c r="K541" s="474">
        <f t="shared" si="220"/>
        <v>0</v>
      </c>
      <c r="L541" s="482">
        <f t="shared" si="220"/>
        <v>0</v>
      </c>
      <c r="M541" s="494">
        <f t="shared" si="220"/>
        <v>0</v>
      </c>
      <c r="N541" s="3"/>
      <c r="O541" s="3"/>
    </row>
    <row r="542" spans="1:15" s="62" customFormat="1" ht="12.75">
      <c r="A542" s="1"/>
      <c r="B542" s="1"/>
      <c r="C542" s="1" t="s">
        <v>210</v>
      </c>
      <c r="D542" s="16" t="s">
        <v>211</v>
      </c>
      <c r="E542" s="74">
        <f t="shared" si="215"/>
        <v>500</v>
      </c>
      <c r="F542" s="452">
        <f>F543</f>
        <v>0</v>
      </c>
      <c r="G542" s="142">
        <f aca="true" t="shared" si="221" ref="G542:M542">G543</f>
        <v>0</v>
      </c>
      <c r="H542" s="462">
        <f t="shared" si="221"/>
        <v>0</v>
      </c>
      <c r="I542" s="90">
        <f t="shared" si="221"/>
        <v>0</v>
      </c>
      <c r="J542" s="94">
        <f t="shared" si="221"/>
        <v>0</v>
      </c>
      <c r="K542" s="474">
        <f t="shared" si="221"/>
        <v>0</v>
      </c>
      <c r="L542" s="482">
        <f t="shared" si="221"/>
        <v>0</v>
      </c>
      <c r="M542" s="494">
        <f t="shared" si="221"/>
        <v>500</v>
      </c>
      <c r="N542" s="3"/>
      <c r="O542" s="3"/>
    </row>
    <row r="543" spans="1:15" s="62" customFormat="1" ht="12.75">
      <c r="A543" s="1"/>
      <c r="B543" s="1"/>
      <c r="C543" s="1" t="s">
        <v>8</v>
      </c>
      <c r="D543" s="16" t="s">
        <v>216</v>
      </c>
      <c r="E543" s="74">
        <f t="shared" si="215"/>
        <v>500</v>
      </c>
      <c r="F543" s="452"/>
      <c r="G543" s="142"/>
      <c r="H543" s="462"/>
      <c r="I543" s="90"/>
      <c r="J543" s="94"/>
      <c r="K543" s="474"/>
      <c r="L543" s="482"/>
      <c r="M543" s="494">
        <v>500</v>
      </c>
      <c r="N543" s="3"/>
      <c r="O543" s="3"/>
    </row>
    <row r="544" spans="1:15" s="62" customFormat="1" ht="12.75">
      <c r="A544" s="1"/>
      <c r="B544" s="1"/>
      <c r="C544" s="1" t="s">
        <v>71</v>
      </c>
      <c r="D544" s="16" t="s">
        <v>38</v>
      </c>
      <c r="E544" s="74">
        <f t="shared" si="215"/>
        <v>-500</v>
      </c>
      <c r="F544" s="452">
        <f>F545</f>
        <v>0</v>
      </c>
      <c r="G544" s="142">
        <f aca="true" t="shared" si="222" ref="G544:M544">G545</f>
        <v>0</v>
      </c>
      <c r="H544" s="462">
        <f t="shared" si="222"/>
        <v>0</v>
      </c>
      <c r="I544" s="90">
        <f t="shared" si="222"/>
        <v>0</v>
      </c>
      <c r="J544" s="94">
        <f t="shared" si="222"/>
        <v>0</v>
      </c>
      <c r="K544" s="474">
        <f t="shared" si="222"/>
        <v>0</v>
      </c>
      <c r="L544" s="482">
        <f t="shared" si="222"/>
        <v>0</v>
      </c>
      <c r="M544" s="494">
        <f t="shared" si="222"/>
        <v>-500</v>
      </c>
      <c r="N544" s="3"/>
      <c r="O544" s="3"/>
    </row>
    <row r="545" spans="1:15" s="62" customFormat="1" ht="12.75">
      <c r="A545" s="1"/>
      <c r="B545" s="1"/>
      <c r="C545" s="1" t="s">
        <v>120</v>
      </c>
      <c r="D545" s="16" t="s">
        <v>100</v>
      </c>
      <c r="E545" s="74">
        <f t="shared" si="215"/>
        <v>-500</v>
      </c>
      <c r="F545" s="452"/>
      <c r="G545" s="142"/>
      <c r="H545" s="462"/>
      <c r="I545" s="90"/>
      <c r="J545" s="94"/>
      <c r="K545" s="474"/>
      <c r="L545" s="482"/>
      <c r="M545" s="494">
        <v>-500</v>
      </c>
      <c r="N545" s="3"/>
      <c r="O545" s="3"/>
    </row>
    <row r="546" spans="1:15" s="62" customFormat="1" ht="12.75">
      <c r="A546" s="1"/>
      <c r="B546" s="1" t="s">
        <v>382</v>
      </c>
      <c r="C546" s="1"/>
      <c r="D546" s="16" t="s">
        <v>384</v>
      </c>
      <c r="E546" s="74">
        <f>E547</f>
        <v>1857.6</v>
      </c>
      <c r="F546" s="451">
        <f aca="true" t="shared" si="223" ref="F546:M548">F547</f>
        <v>1857.6</v>
      </c>
      <c r="G546" s="141">
        <f t="shared" si="223"/>
        <v>0</v>
      </c>
      <c r="H546" s="461">
        <f t="shared" si="223"/>
        <v>0</v>
      </c>
      <c r="I546" s="89">
        <f t="shared" si="223"/>
        <v>0</v>
      </c>
      <c r="J546" s="93">
        <f t="shared" si="223"/>
        <v>0</v>
      </c>
      <c r="K546" s="471">
        <f t="shared" si="223"/>
        <v>0</v>
      </c>
      <c r="L546" s="481">
        <f t="shared" si="223"/>
        <v>0</v>
      </c>
      <c r="M546" s="491">
        <f t="shared" si="223"/>
        <v>0</v>
      </c>
      <c r="N546" s="3"/>
      <c r="O546" s="3"/>
    </row>
    <row r="547" spans="1:15" s="62" customFormat="1" ht="38.25">
      <c r="A547" s="1"/>
      <c r="B547" s="1" t="s">
        <v>383</v>
      </c>
      <c r="C547" s="1"/>
      <c r="D547" s="16" t="s">
        <v>385</v>
      </c>
      <c r="E547" s="74">
        <f>E548</f>
        <v>1857.6</v>
      </c>
      <c r="F547" s="451">
        <f t="shared" si="223"/>
        <v>1857.6</v>
      </c>
      <c r="G547" s="141">
        <f t="shared" si="223"/>
        <v>0</v>
      </c>
      <c r="H547" s="461">
        <f t="shared" si="223"/>
        <v>0</v>
      </c>
      <c r="I547" s="89">
        <f t="shared" si="223"/>
        <v>0</v>
      </c>
      <c r="J547" s="93">
        <f t="shared" si="223"/>
        <v>0</v>
      </c>
      <c r="K547" s="471">
        <f t="shared" si="223"/>
        <v>0</v>
      </c>
      <c r="L547" s="481">
        <f t="shared" si="223"/>
        <v>0</v>
      </c>
      <c r="M547" s="491">
        <f t="shared" si="223"/>
        <v>0</v>
      </c>
      <c r="N547" s="3"/>
      <c r="O547" s="3"/>
    </row>
    <row r="548" spans="1:15" s="62" customFormat="1" ht="27" customHeight="1">
      <c r="A548" s="1"/>
      <c r="B548" s="1"/>
      <c r="C548" s="1" t="s">
        <v>232</v>
      </c>
      <c r="D548" s="16" t="s">
        <v>403</v>
      </c>
      <c r="E548" s="74">
        <f>E549</f>
        <v>1857.6</v>
      </c>
      <c r="F548" s="451">
        <f t="shared" si="223"/>
        <v>1857.6</v>
      </c>
      <c r="G548" s="141">
        <f t="shared" si="223"/>
        <v>0</v>
      </c>
      <c r="H548" s="461">
        <f t="shared" si="223"/>
        <v>0</v>
      </c>
      <c r="I548" s="89">
        <f t="shared" si="223"/>
        <v>0</v>
      </c>
      <c r="J548" s="93">
        <f t="shared" si="223"/>
        <v>0</v>
      </c>
      <c r="K548" s="471">
        <f t="shared" si="223"/>
        <v>0</v>
      </c>
      <c r="L548" s="481">
        <f t="shared" si="223"/>
        <v>0</v>
      </c>
      <c r="M548" s="491">
        <f t="shared" si="223"/>
        <v>0</v>
      </c>
      <c r="N548" s="3"/>
      <c r="O548" s="3"/>
    </row>
    <row r="549" spans="1:15" s="62" customFormat="1" ht="15.75" customHeight="1">
      <c r="A549" s="1"/>
      <c r="B549" s="1"/>
      <c r="C549" s="1" t="s">
        <v>191</v>
      </c>
      <c r="D549" s="16" t="s">
        <v>367</v>
      </c>
      <c r="E549" s="74">
        <f>F549+G549+H549+I549+J549+K549+L549+M549</f>
        <v>1857.6</v>
      </c>
      <c r="F549" s="452">
        <v>1857.6</v>
      </c>
      <c r="G549" s="142"/>
      <c r="H549" s="462"/>
      <c r="I549" s="90"/>
      <c r="J549" s="94"/>
      <c r="K549" s="474"/>
      <c r="L549" s="482"/>
      <c r="M549" s="494"/>
      <c r="N549" s="3"/>
      <c r="O549" s="3"/>
    </row>
    <row r="550" spans="1:15" s="62" customFormat="1" ht="12.75">
      <c r="A550" s="81"/>
      <c r="B550" s="1" t="s">
        <v>37</v>
      </c>
      <c r="C550" s="1"/>
      <c r="D550" s="16" t="s">
        <v>38</v>
      </c>
      <c r="E550" s="74">
        <f>F550+G550+H550+I550+J550+K550+L550+M550</f>
        <v>13994.993</v>
      </c>
      <c r="F550" s="452">
        <f>F551+F556</f>
        <v>0</v>
      </c>
      <c r="G550" s="142">
        <f aca="true" t="shared" si="224" ref="G550:M550">G551+G556</f>
        <v>0</v>
      </c>
      <c r="H550" s="462">
        <f t="shared" si="224"/>
        <v>0</v>
      </c>
      <c r="I550" s="90">
        <f t="shared" si="224"/>
        <v>0</v>
      </c>
      <c r="J550" s="94">
        <f t="shared" si="224"/>
        <v>1320</v>
      </c>
      <c r="K550" s="474">
        <f t="shared" si="224"/>
        <v>0</v>
      </c>
      <c r="L550" s="482">
        <f t="shared" si="224"/>
        <v>12674.993</v>
      </c>
      <c r="M550" s="494">
        <f t="shared" si="224"/>
        <v>0</v>
      </c>
      <c r="N550" s="70"/>
      <c r="O550" s="3"/>
    </row>
    <row r="551" spans="1:15" s="62" customFormat="1" ht="25.5">
      <c r="A551" s="81"/>
      <c r="B551" s="1" t="s">
        <v>209</v>
      </c>
      <c r="C551" s="1"/>
      <c r="D551" s="49" t="s">
        <v>3</v>
      </c>
      <c r="E551" s="74">
        <f t="shared" si="215"/>
        <v>12674.993</v>
      </c>
      <c r="F551" s="452">
        <f>F552</f>
        <v>0</v>
      </c>
      <c r="G551" s="142">
        <f aca="true" t="shared" si="225" ref="G551:M554">G552</f>
        <v>0</v>
      </c>
      <c r="H551" s="462">
        <f t="shared" si="225"/>
        <v>0</v>
      </c>
      <c r="I551" s="90">
        <f t="shared" si="225"/>
        <v>0</v>
      </c>
      <c r="J551" s="94">
        <f t="shared" si="225"/>
        <v>0</v>
      </c>
      <c r="K551" s="474">
        <f t="shared" si="225"/>
        <v>0</v>
      </c>
      <c r="L551" s="482">
        <f t="shared" si="225"/>
        <v>12674.993</v>
      </c>
      <c r="M551" s="494">
        <f t="shared" si="225"/>
        <v>0</v>
      </c>
      <c r="N551" s="70"/>
      <c r="O551" s="3"/>
    </row>
    <row r="552" spans="1:15" s="62" customFormat="1" ht="25.5">
      <c r="A552" s="81"/>
      <c r="B552" s="59" t="s">
        <v>289</v>
      </c>
      <c r="C552" s="1"/>
      <c r="D552" s="16" t="s">
        <v>147</v>
      </c>
      <c r="E552" s="74">
        <f>E553</f>
        <v>12674.993</v>
      </c>
      <c r="F552" s="74">
        <f>F553</f>
        <v>0</v>
      </c>
      <c r="G552" s="74">
        <f t="shared" si="225"/>
        <v>0</v>
      </c>
      <c r="H552" s="74">
        <f t="shared" si="225"/>
        <v>0</v>
      </c>
      <c r="I552" s="74">
        <f t="shared" si="225"/>
        <v>0</v>
      </c>
      <c r="J552" s="74">
        <f t="shared" si="225"/>
        <v>0</v>
      </c>
      <c r="K552" s="74">
        <f t="shared" si="225"/>
        <v>0</v>
      </c>
      <c r="L552" s="74">
        <f t="shared" si="225"/>
        <v>12674.993</v>
      </c>
      <c r="M552" s="74">
        <f t="shared" si="225"/>
        <v>0</v>
      </c>
      <c r="N552" s="70"/>
      <c r="O552" s="3"/>
    </row>
    <row r="553" spans="1:15" s="62" customFormat="1" ht="15.75" customHeight="1">
      <c r="A553" s="81"/>
      <c r="B553" s="59"/>
      <c r="C553" s="1"/>
      <c r="D553" s="16" t="s">
        <v>374</v>
      </c>
      <c r="E553" s="74">
        <f>E554</f>
        <v>12674.993</v>
      </c>
      <c r="F553" s="74">
        <f>F554</f>
        <v>0</v>
      </c>
      <c r="G553" s="74">
        <f t="shared" si="225"/>
        <v>0</v>
      </c>
      <c r="H553" s="74">
        <f t="shared" si="225"/>
        <v>0</v>
      </c>
      <c r="I553" s="74">
        <f t="shared" si="225"/>
        <v>0</v>
      </c>
      <c r="J553" s="74">
        <f t="shared" si="225"/>
        <v>0</v>
      </c>
      <c r="K553" s="74">
        <f t="shared" si="225"/>
        <v>0</v>
      </c>
      <c r="L553" s="74">
        <f t="shared" si="225"/>
        <v>12674.993</v>
      </c>
      <c r="M553" s="74">
        <f t="shared" si="225"/>
        <v>0</v>
      </c>
      <c r="N553" s="70"/>
      <c r="O553" s="3"/>
    </row>
    <row r="554" spans="1:15" s="62" customFormat="1" ht="12.75">
      <c r="A554" s="81"/>
      <c r="B554" s="59"/>
      <c r="C554" s="1" t="s">
        <v>212</v>
      </c>
      <c r="D554" s="16" t="s">
        <v>45</v>
      </c>
      <c r="E554" s="74">
        <f t="shared" si="215"/>
        <v>12674.993</v>
      </c>
      <c r="F554" s="452">
        <f>F555</f>
        <v>0</v>
      </c>
      <c r="G554" s="142">
        <f t="shared" si="225"/>
        <v>0</v>
      </c>
      <c r="H554" s="462">
        <f t="shared" si="225"/>
        <v>0</v>
      </c>
      <c r="I554" s="90">
        <f t="shared" si="225"/>
        <v>0</v>
      </c>
      <c r="J554" s="94">
        <f t="shared" si="225"/>
        <v>0</v>
      </c>
      <c r="K554" s="474">
        <f t="shared" si="225"/>
        <v>0</v>
      </c>
      <c r="L554" s="482">
        <f t="shared" si="225"/>
        <v>12674.993</v>
      </c>
      <c r="M554" s="494">
        <f t="shared" si="225"/>
        <v>0</v>
      </c>
      <c r="N554" s="70"/>
      <c r="O554" s="3"/>
    </row>
    <row r="555" spans="1:15" s="62" customFormat="1" ht="25.5">
      <c r="A555" s="81"/>
      <c r="B555" s="59"/>
      <c r="C555" s="1" t="s">
        <v>125</v>
      </c>
      <c r="D555" s="16" t="s">
        <v>290</v>
      </c>
      <c r="E555" s="74">
        <f t="shared" si="215"/>
        <v>12674.993</v>
      </c>
      <c r="F555" s="452"/>
      <c r="G555" s="142"/>
      <c r="H555" s="462"/>
      <c r="I555" s="90"/>
      <c r="J555" s="94"/>
      <c r="K555" s="474"/>
      <c r="L555" s="482">
        <v>12674.993</v>
      </c>
      <c r="M555" s="494"/>
      <c r="N555" s="70"/>
      <c r="O555" s="3"/>
    </row>
    <row r="556" spans="1:15" s="62" customFormat="1" ht="39" customHeight="1">
      <c r="A556" s="81"/>
      <c r="B556" s="59" t="s">
        <v>291</v>
      </c>
      <c r="C556" s="1"/>
      <c r="D556" s="16" t="s">
        <v>103</v>
      </c>
      <c r="E556" s="74">
        <f t="shared" si="215"/>
        <v>1320</v>
      </c>
      <c r="F556" s="452">
        <f>F557</f>
        <v>0</v>
      </c>
      <c r="G556" s="142">
        <f aca="true" t="shared" si="226" ref="G556:M558">G557</f>
        <v>0</v>
      </c>
      <c r="H556" s="462">
        <f t="shared" si="226"/>
        <v>0</v>
      </c>
      <c r="I556" s="90">
        <f t="shared" si="226"/>
        <v>0</v>
      </c>
      <c r="J556" s="94">
        <f t="shared" si="226"/>
        <v>1320</v>
      </c>
      <c r="K556" s="474">
        <f t="shared" si="226"/>
        <v>0</v>
      </c>
      <c r="L556" s="482">
        <f t="shared" si="226"/>
        <v>0</v>
      </c>
      <c r="M556" s="494">
        <f t="shared" si="226"/>
        <v>0</v>
      </c>
      <c r="N556" s="70"/>
      <c r="O556" s="3"/>
    </row>
    <row r="557" spans="1:15" s="62" customFormat="1" ht="12.75">
      <c r="A557" s="81"/>
      <c r="B557" s="59" t="s">
        <v>285</v>
      </c>
      <c r="C557" s="1"/>
      <c r="D557" s="16" t="s">
        <v>286</v>
      </c>
      <c r="E557" s="74">
        <f t="shared" si="215"/>
        <v>1320</v>
      </c>
      <c r="F557" s="452">
        <f>F558</f>
        <v>0</v>
      </c>
      <c r="G557" s="142">
        <f t="shared" si="226"/>
        <v>0</v>
      </c>
      <c r="H557" s="462">
        <f t="shared" si="226"/>
        <v>0</v>
      </c>
      <c r="I557" s="90">
        <f t="shared" si="226"/>
        <v>0</v>
      </c>
      <c r="J557" s="94">
        <f t="shared" si="226"/>
        <v>1320</v>
      </c>
      <c r="K557" s="474">
        <f t="shared" si="226"/>
        <v>0</v>
      </c>
      <c r="L557" s="482">
        <f t="shared" si="226"/>
        <v>0</v>
      </c>
      <c r="M557" s="494">
        <f t="shared" si="226"/>
        <v>0</v>
      </c>
      <c r="N557" s="70"/>
      <c r="O557" s="3"/>
    </row>
    <row r="558" spans="1:15" s="62" customFormat="1" ht="12.75">
      <c r="A558" s="81"/>
      <c r="B558" s="59"/>
      <c r="C558" s="1" t="s">
        <v>212</v>
      </c>
      <c r="D558" s="16" t="s">
        <v>45</v>
      </c>
      <c r="E558" s="74">
        <f t="shared" si="215"/>
        <v>1320</v>
      </c>
      <c r="F558" s="452">
        <f>F559</f>
        <v>0</v>
      </c>
      <c r="G558" s="142">
        <f t="shared" si="226"/>
        <v>0</v>
      </c>
      <c r="H558" s="462">
        <f t="shared" si="226"/>
        <v>0</v>
      </c>
      <c r="I558" s="90">
        <f t="shared" si="226"/>
        <v>0</v>
      </c>
      <c r="J558" s="94">
        <f t="shared" si="226"/>
        <v>1320</v>
      </c>
      <c r="K558" s="474">
        <f t="shared" si="226"/>
        <v>0</v>
      </c>
      <c r="L558" s="482">
        <f t="shared" si="226"/>
        <v>0</v>
      </c>
      <c r="M558" s="494">
        <f t="shared" si="226"/>
        <v>0</v>
      </c>
      <c r="N558" s="70"/>
      <c r="O558" s="3"/>
    </row>
    <row r="559" spans="1:15" s="62" customFormat="1" ht="25.5">
      <c r="A559" s="81"/>
      <c r="B559" s="59"/>
      <c r="C559" s="1" t="s">
        <v>125</v>
      </c>
      <c r="D559" s="16" t="s">
        <v>290</v>
      </c>
      <c r="E559" s="74">
        <f t="shared" si="215"/>
        <v>1320</v>
      </c>
      <c r="F559" s="452"/>
      <c r="G559" s="142"/>
      <c r="H559" s="462"/>
      <c r="I559" s="90"/>
      <c r="J559" s="94">
        <v>1320</v>
      </c>
      <c r="K559" s="474"/>
      <c r="L559" s="482"/>
      <c r="M559" s="494"/>
      <c r="N559" s="70"/>
      <c r="O559" s="3"/>
    </row>
    <row r="560" spans="1:15" s="62" customFormat="1" ht="12.75">
      <c r="A560" s="81"/>
      <c r="B560" s="59" t="s">
        <v>311</v>
      </c>
      <c r="C560" s="1"/>
      <c r="D560" s="16" t="s">
        <v>106</v>
      </c>
      <c r="E560" s="74">
        <f t="shared" si="215"/>
        <v>2786.9</v>
      </c>
      <c r="F560" s="452">
        <f aca="true" t="shared" si="227" ref="F560:M563">F561</f>
        <v>0</v>
      </c>
      <c r="G560" s="142">
        <f t="shared" si="227"/>
        <v>0</v>
      </c>
      <c r="H560" s="462">
        <f t="shared" si="227"/>
        <v>0</v>
      </c>
      <c r="I560" s="90">
        <f t="shared" si="227"/>
        <v>2786.9</v>
      </c>
      <c r="J560" s="94">
        <f t="shared" si="227"/>
        <v>0</v>
      </c>
      <c r="K560" s="474">
        <f t="shared" si="227"/>
        <v>0</v>
      </c>
      <c r="L560" s="482">
        <f t="shared" si="227"/>
        <v>0</v>
      </c>
      <c r="M560" s="494">
        <f t="shared" si="227"/>
        <v>0</v>
      </c>
      <c r="N560" s="3"/>
      <c r="O560" s="3"/>
    </row>
    <row r="561" spans="1:15" s="62" customFormat="1" ht="25.5">
      <c r="A561" s="81"/>
      <c r="B561" s="1" t="s">
        <v>313</v>
      </c>
      <c r="C561" s="1"/>
      <c r="D561" s="16" t="s">
        <v>314</v>
      </c>
      <c r="E561" s="74">
        <f t="shared" si="215"/>
        <v>2786.9</v>
      </c>
      <c r="F561" s="452">
        <f t="shared" si="227"/>
        <v>0</v>
      </c>
      <c r="G561" s="142">
        <f t="shared" si="227"/>
        <v>0</v>
      </c>
      <c r="H561" s="462">
        <f t="shared" si="227"/>
        <v>0</v>
      </c>
      <c r="I561" s="90">
        <f t="shared" si="227"/>
        <v>2786.9</v>
      </c>
      <c r="J561" s="94">
        <f t="shared" si="227"/>
        <v>0</v>
      </c>
      <c r="K561" s="474">
        <f t="shared" si="227"/>
        <v>0</v>
      </c>
      <c r="L561" s="482">
        <f t="shared" si="227"/>
        <v>0</v>
      </c>
      <c r="M561" s="494">
        <f t="shared" si="227"/>
        <v>0</v>
      </c>
      <c r="N561" s="3"/>
      <c r="O561" s="3"/>
    </row>
    <row r="562" spans="1:15" s="62" customFormat="1" ht="12.75">
      <c r="A562" s="81"/>
      <c r="B562" s="1" t="s">
        <v>312</v>
      </c>
      <c r="C562" s="1"/>
      <c r="D562" s="16" t="s">
        <v>189</v>
      </c>
      <c r="E562" s="74">
        <f t="shared" si="215"/>
        <v>2786.9</v>
      </c>
      <c r="F562" s="452">
        <f t="shared" si="227"/>
        <v>0</v>
      </c>
      <c r="G562" s="142">
        <f t="shared" si="227"/>
        <v>0</v>
      </c>
      <c r="H562" s="462">
        <f t="shared" si="227"/>
        <v>0</v>
      </c>
      <c r="I562" s="90">
        <f t="shared" si="227"/>
        <v>2786.9</v>
      </c>
      <c r="J562" s="94">
        <f t="shared" si="227"/>
        <v>0</v>
      </c>
      <c r="K562" s="474">
        <f t="shared" si="227"/>
        <v>0</v>
      </c>
      <c r="L562" s="482">
        <f t="shared" si="227"/>
        <v>0</v>
      </c>
      <c r="M562" s="494">
        <f t="shared" si="227"/>
        <v>0</v>
      </c>
      <c r="N562" s="3"/>
      <c r="O562" s="3"/>
    </row>
    <row r="563" spans="1:15" s="62" customFormat="1" ht="27" customHeight="1">
      <c r="A563" s="81"/>
      <c r="B563" s="1"/>
      <c r="C563" s="1" t="s">
        <v>232</v>
      </c>
      <c r="D563" s="48" t="s">
        <v>403</v>
      </c>
      <c r="E563" s="74">
        <f t="shared" si="215"/>
        <v>2786.9</v>
      </c>
      <c r="F563" s="452">
        <f t="shared" si="227"/>
        <v>0</v>
      </c>
      <c r="G563" s="142">
        <f t="shared" si="227"/>
        <v>0</v>
      </c>
      <c r="H563" s="462">
        <f t="shared" si="227"/>
        <v>0</v>
      </c>
      <c r="I563" s="90">
        <f t="shared" si="227"/>
        <v>2786.9</v>
      </c>
      <c r="J563" s="94">
        <f t="shared" si="227"/>
        <v>0</v>
      </c>
      <c r="K563" s="474">
        <f t="shared" si="227"/>
        <v>0</v>
      </c>
      <c r="L563" s="482">
        <f t="shared" si="227"/>
        <v>0</v>
      </c>
      <c r="M563" s="494">
        <f t="shared" si="227"/>
        <v>0</v>
      </c>
      <c r="N563" s="3"/>
      <c r="O563" s="3"/>
    </row>
    <row r="564" spans="1:15" s="62" customFormat="1" ht="14.25" customHeight="1">
      <c r="A564" s="81"/>
      <c r="B564" s="1"/>
      <c r="C564" s="1" t="s">
        <v>191</v>
      </c>
      <c r="D564" s="16" t="s">
        <v>367</v>
      </c>
      <c r="E564" s="74">
        <f t="shared" si="215"/>
        <v>2786.9</v>
      </c>
      <c r="F564" s="452"/>
      <c r="G564" s="142"/>
      <c r="H564" s="462"/>
      <c r="I564" s="90">
        <v>2786.9</v>
      </c>
      <c r="J564" s="94"/>
      <c r="K564" s="474"/>
      <c r="L564" s="482"/>
      <c r="M564" s="494"/>
      <c r="N564" s="3"/>
      <c r="O564" s="3"/>
    </row>
    <row r="565" spans="1:15" s="67" customFormat="1" ht="25.5">
      <c r="A565" s="551">
        <v>1400</v>
      </c>
      <c r="B565" s="58"/>
      <c r="C565" s="10"/>
      <c r="D565" s="15" t="s">
        <v>351</v>
      </c>
      <c r="E565" s="425">
        <f>E566</f>
        <v>15415.3</v>
      </c>
      <c r="F565" s="450">
        <f aca="true" t="shared" si="228" ref="F565:M569">F566</f>
        <v>15415.3</v>
      </c>
      <c r="G565" s="140">
        <f t="shared" si="228"/>
        <v>0</v>
      </c>
      <c r="H565" s="460">
        <f t="shared" si="228"/>
        <v>0</v>
      </c>
      <c r="I565" s="88">
        <f t="shared" si="228"/>
        <v>0</v>
      </c>
      <c r="J565" s="92">
        <f t="shared" si="228"/>
        <v>0</v>
      </c>
      <c r="K565" s="470">
        <f t="shared" si="228"/>
        <v>0</v>
      </c>
      <c r="L565" s="480">
        <f t="shared" si="228"/>
        <v>0</v>
      </c>
      <c r="M565" s="490">
        <f t="shared" si="228"/>
        <v>0</v>
      </c>
      <c r="N565" s="4"/>
      <c r="O565" s="4"/>
    </row>
    <row r="566" spans="1:15" s="62" customFormat="1" ht="12.75">
      <c r="A566" s="550">
        <v>1402</v>
      </c>
      <c r="B566" s="59"/>
      <c r="C566" s="1"/>
      <c r="D566" s="16" t="s">
        <v>352</v>
      </c>
      <c r="E566" s="74">
        <f>E567</f>
        <v>15415.3</v>
      </c>
      <c r="F566" s="451">
        <f t="shared" si="228"/>
        <v>15415.3</v>
      </c>
      <c r="G566" s="141">
        <f t="shared" si="228"/>
        <v>0</v>
      </c>
      <c r="H566" s="461">
        <f t="shared" si="228"/>
        <v>0</v>
      </c>
      <c r="I566" s="89">
        <f t="shared" si="228"/>
        <v>0</v>
      </c>
      <c r="J566" s="93">
        <f t="shared" si="228"/>
        <v>0</v>
      </c>
      <c r="K566" s="471">
        <f t="shared" si="228"/>
        <v>0</v>
      </c>
      <c r="L566" s="481">
        <f t="shared" si="228"/>
        <v>0</v>
      </c>
      <c r="M566" s="491">
        <f t="shared" si="228"/>
        <v>0</v>
      </c>
      <c r="N566" s="3"/>
      <c r="O566" s="3"/>
    </row>
    <row r="567" spans="1:15" s="62" customFormat="1" ht="12.75">
      <c r="A567" s="81"/>
      <c r="B567" s="59" t="s">
        <v>348</v>
      </c>
      <c r="C567" s="1"/>
      <c r="D567" s="16" t="s">
        <v>353</v>
      </c>
      <c r="E567" s="74">
        <f>E568</f>
        <v>15415.3</v>
      </c>
      <c r="F567" s="451">
        <f t="shared" si="228"/>
        <v>15415.3</v>
      </c>
      <c r="G567" s="141">
        <f t="shared" si="228"/>
        <v>0</v>
      </c>
      <c r="H567" s="461">
        <f t="shared" si="228"/>
        <v>0</v>
      </c>
      <c r="I567" s="89">
        <f t="shared" si="228"/>
        <v>0</v>
      </c>
      <c r="J567" s="93">
        <f t="shared" si="228"/>
        <v>0</v>
      </c>
      <c r="K567" s="471">
        <f t="shared" si="228"/>
        <v>0</v>
      </c>
      <c r="L567" s="481">
        <f t="shared" si="228"/>
        <v>0</v>
      </c>
      <c r="M567" s="491">
        <f t="shared" si="228"/>
        <v>0</v>
      </c>
      <c r="N567" s="3"/>
      <c r="O567" s="3"/>
    </row>
    <row r="568" spans="1:15" s="62" customFormat="1" ht="12.75">
      <c r="A568" s="81"/>
      <c r="B568" s="59" t="s">
        <v>349</v>
      </c>
      <c r="C568" s="1"/>
      <c r="D568" s="16" t="s">
        <v>318</v>
      </c>
      <c r="E568" s="74">
        <f>E569</f>
        <v>15415.3</v>
      </c>
      <c r="F568" s="451">
        <f t="shared" si="228"/>
        <v>15415.3</v>
      </c>
      <c r="G568" s="141">
        <f t="shared" si="228"/>
        <v>0</v>
      </c>
      <c r="H568" s="461">
        <f t="shared" si="228"/>
        <v>0</v>
      </c>
      <c r="I568" s="89">
        <f t="shared" si="228"/>
        <v>0</v>
      </c>
      <c r="J568" s="93">
        <f t="shared" si="228"/>
        <v>0</v>
      </c>
      <c r="K568" s="471">
        <f t="shared" si="228"/>
        <v>0</v>
      </c>
      <c r="L568" s="481">
        <f t="shared" si="228"/>
        <v>0</v>
      </c>
      <c r="M568" s="491">
        <f t="shared" si="228"/>
        <v>0</v>
      </c>
      <c r="N568" s="3"/>
      <c r="O568" s="3"/>
    </row>
    <row r="569" spans="1:15" s="62" customFormat="1" ht="12.75">
      <c r="A569" s="81"/>
      <c r="B569" s="59"/>
      <c r="C569" s="1" t="s">
        <v>71</v>
      </c>
      <c r="D569" s="16" t="s">
        <v>38</v>
      </c>
      <c r="E569" s="74">
        <f>E570</f>
        <v>15415.3</v>
      </c>
      <c r="F569" s="451">
        <f t="shared" si="228"/>
        <v>15415.3</v>
      </c>
      <c r="G569" s="141">
        <f t="shared" si="228"/>
        <v>0</v>
      </c>
      <c r="H569" s="461">
        <f t="shared" si="228"/>
        <v>0</v>
      </c>
      <c r="I569" s="89">
        <f t="shared" si="228"/>
        <v>0</v>
      </c>
      <c r="J569" s="93">
        <f t="shared" si="228"/>
        <v>0</v>
      </c>
      <c r="K569" s="471">
        <f t="shared" si="228"/>
        <v>0</v>
      </c>
      <c r="L569" s="481">
        <f t="shared" si="228"/>
        <v>0</v>
      </c>
      <c r="M569" s="491">
        <f t="shared" si="228"/>
        <v>0</v>
      </c>
      <c r="N569" s="3"/>
      <c r="O569" s="3"/>
    </row>
    <row r="570" spans="1:15" s="62" customFormat="1" ht="12.75">
      <c r="A570" s="81"/>
      <c r="B570" s="59"/>
      <c r="C570" s="1" t="s">
        <v>350</v>
      </c>
      <c r="D570" s="16" t="s">
        <v>353</v>
      </c>
      <c r="E570" s="74">
        <f t="shared" si="215"/>
        <v>15415.3</v>
      </c>
      <c r="F570" s="452">
        <f>11600+4545.3-730</f>
        <v>15415.3</v>
      </c>
      <c r="G570" s="142"/>
      <c r="H570" s="462"/>
      <c r="I570" s="90"/>
      <c r="J570" s="94"/>
      <c r="K570" s="474"/>
      <c r="L570" s="482"/>
      <c r="M570" s="494"/>
      <c r="N570" s="3"/>
      <c r="O570" s="3"/>
    </row>
    <row r="571" spans="1:15" s="71" customFormat="1" ht="14.25">
      <c r="A571" s="552"/>
      <c r="B571" s="552"/>
      <c r="C571" s="552"/>
      <c r="D571" s="552" t="s">
        <v>0</v>
      </c>
      <c r="E571" s="425">
        <f>F571+G571+H571+I571+J571+K571+L571+M571</f>
        <v>144057.988</v>
      </c>
      <c r="F571" s="457">
        <f aca="true" t="shared" si="229" ref="F571:M571">F9+F69+F81+F184+F267+F389+F423+F487+F532+F565</f>
        <v>9332.055000000002</v>
      </c>
      <c r="G571" s="432">
        <f t="shared" si="229"/>
        <v>36022.1</v>
      </c>
      <c r="H571" s="467">
        <f t="shared" si="229"/>
        <v>-5500.986</v>
      </c>
      <c r="I571" s="433">
        <f t="shared" si="229"/>
        <v>6665.280000000004</v>
      </c>
      <c r="J571" s="434">
        <f t="shared" si="229"/>
        <v>10485.005000000001</v>
      </c>
      <c r="K571" s="476">
        <f t="shared" si="229"/>
        <v>9960.6</v>
      </c>
      <c r="L571" s="487">
        <f t="shared" si="229"/>
        <v>77093.934</v>
      </c>
      <c r="M571" s="496">
        <f t="shared" si="229"/>
        <v>0</v>
      </c>
      <c r="N571" s="77"/>
      <c r="O571" s="77"/>
    </row>
    <row r="572" spans="1:13" ht="15">
      <c r="A572" s="78"/>
      <c r="B572" s="78"/>
      <c r="C572" s="78"/>
      <c r="D572" s="78"/>
      <c r="E572" s="79"/>
      <c r="F572" s="78"/>
      <c r="G572" s="78"/>
      <c r="H572" s="78"/>
      <c r="I572" s="78"/>
      <c r="J572" s="78"/>
      <c r="K572" s="78"/>
      <c r="L572" s="78"/>
      <c r="M572" s="78"/>
    </row>
    <row r="573" spans="1:13" ht="15">
      <c r="A573" s="78"/>
      <c r="B573" s="78"/>
      <c r="C573" s="78"/>
      <c r="D573" s="75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1:13" ht="1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</row>
  </sheetData>
  <sheetProtection/>
  <autoFilter ref="A7:E571"/>
  <mergeCells count="5">
    <mergeCell ref="D1:E1"/>
    <mergeCell ref="D2:E2"/>
    <mergeCell ref="A5:E6"/>
    <mergeCell ref="B39:B40"/>
    <mergeCell ref="D3:F3"/>
  </mergeCells>
  <printOptions/>
  <pageMargins left="0.3937007874015748" right="0" top="0.1968503937007874" bottom="0" header="0.31496062992125984" footer="0.31496062992125984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0">
      <selection activeCell="D4" sqref="D4"/>
    </sheetView>
  </sheetViews>
  <sheetFormatPr defaultColWidth="9.140625" defaultRowHeight="15"/>
  <cols>
    <col min="1" max="1" width="8.28125" style="0" customWidth="1"/>
    <col min="2" max="2" width="9.28125" style="0" customWidth="1"/>
    <col min="3" max="3" width="7.28125" style="0" customWidth="1"/>
    <col min="4" max="4" width="47.421875" style="0" customWidth="1"/>
    <col min="5" max="5" width="10.421875" style="0" customWidth="1"/>
    <col min="6" max="6" width="10.421875" style="429" customWidth="1"/>
    <col min="7" max="8" width="9.140625" style="65" customWidth="1"/>
  </cols>
  <sheetData>
    <row r="1" spans="1:5" s="11" customFormat="1" ht="12.75">
      <c r="A1" s="6"/>
      <c r="B1" s="6"/>
      <c r="C1" s="6"/>
      <c r="D1" s="575" t="s">
        <v>1185</v>
      </c>
      <c r="E1" s="575"/>
    </row>
    <row r="2" spans="1:5" s="11" customFormat="1" ht="12.75">
      <c r="A2" s="6"/>
      <c r="B2" s="6"/>
      <c r="C2" s="6"/>
      <c r="D2" s="575" t="s">
        <v>322</v>
      </c>
      <c r="E2" s="575"/>
    </row>
    <row r="3" spans="1:5" s="11" customFormat="1" ht="12.75">
      <c r="A3" s="6"/>
      <c r="B3" s="6"/>
      <c r="C3" s="6"/>
      <c r="D3" s="608" t="s">
        <v>1207</v>
      </c>
      <c r="E3" s="608"/>
    </row>
    <row r="4" spans="1:5" s="11" customFormat="1" ht="12.75">
      <c r="A4" s="6"/>
      <c r="B4" s="6"/>
      <c r="C4" s="6"/>
      <c r="D4" s="39"/>
      <c r="E4" s="25"/>
    </row>
    <row r="5" spans="1:6" s="13" customFormat="1" ht="15">
      <c r="A5" s="605" t="s">
        <v>1030</v>
      </c>
      <c r="B5" s="605"/>
      <c r="C5" s="605"/>
      <c r="D5" s="605"/>
      <c r="E5" s="605"/>
      <c r="F5" s="605"/>
    </row>
    <row r="6" spans="1:6" s="13" customFormat="1" ht="15">
      <c r="A6" s="610"/>
      <c r="B6" s="610"/>
      <c r="C6" s="610"/>
      <c r="D6" s="610"/>
      <c r="E6" s="610"/>
      <c r="F6" s="610"/>
    </row>
    <row r="7" spans="1:6" s="43" customFormat="1" ht="33.75">
      <c r="A7" s="7" t="s">
        <v>18</v>
      </c>
      <c r="B7" s="7" t="s">
        <v>19</v>
      </c>
      <c r="C7" s="7" t="s">
        <v>20</v>
      </c>
      <c r="D7" s="399" t="s">
        <v>21</v>
      </c>
      <c r="E7" s="414" t="s">
        <v>1032</v>
      </c>
      <c r="F7" s="414" t="s">
        <v>1033</v>
      </c>
    </row>
    <row r="8" spans="1:6" s="46" customFormat="1" ht="8.25">
      <c r="A8" s="32" t="s">
        <v>23</v>
      </c>
      <c r="B8" s="32" t="s">
        <v>24</v>
      </c>
      <c r="C8" s="32" t="s">
        <v>25</v>
      </c>
      <c r="D8" s="44">
        <v>4</v>
      </c>
      <c r="E8" s="539">
        <v>5</v>
      </c>
      <c r="F8" s="540">
        <v>6</v>
      </c>
    </row>
    <row r="9" spans="1:6" s="20" customFormat="1" ht="12.75">
      <c r="A9" s="37" t="s">
        <v>26</v>
      </c>
      <c r="B9" s="38"/>
      <c r="C9" s="38"/>
      <c r="D9" s="8" t="s">
        <v>27</v>
      </c>
      <c r="E9" s="66">
        <f>E10+E16</f>
        <v>102</v>
      </c>
      <c r="F9" s="425">
        <f>F10+F16</f>
        <v>102</v>
      </c>
    </row>
    <row r="10" spans="1:8" s="62" customFormat="1" ht="38.25">
      <c r="A10" s="83" t="s">
        <v>11</v>
      </c>
      <c r="B10" s="1"/>
      <c r="C10" s="1"/>
      <c r="D10" s="16" t="s">
        <v>347</v>
      </c>
      <c r="E10" s="61">
        <f aca="true" t="shared" si="0" ref="E10:F14">E11</f>
        <v>102</v>
      </c>
      <c r="F10" s="74">
        <f t="shared" si="0"/>
        <v>102</v>
      </c>
      <c r="G10" s="3"/>
      <c r="H10" s="3"/>
    </row>
    <row r="11" spans="1:8" s="62" customFormat="1" ht="25.5">
      <c r="A11" s="82"/>
      <c r="B11" s="1" t="s">
        <v>28</v>
      </c>
      <c r="C11" s="1"/>
      <c r="D11" s="2" t="s">
        <v>29</v>
      </c>
      <c r="E11" s="61">
        <f t="shared" si="0"/>
        <v>102</v>
      </c>
      <c r="F11" s="74">
        <f t="shared" si="0"/>
        <v>102</v>
      </c>
      <c r="G11" s="3"/>
      <c r="H11" s="3"/>
    </row>
    <row r="12" spans="1:8" s="62" customFormat="1" ht="12.75">
      <c r="A12" s="82"/>
      <c r="B12" s="1" t="s">
        <v>30</v>
      </c>
      <c r="C12" s="1"/>
      <c r="D12" s="2" t="s">
        <v>31</v>
      </c>
      <c r="E12" s="61">
        <f t="shared" si="0"/>
        <v>102</v>
      </c>
      <c r="F12" s="74">
        <f t="shared" si="0"/>
        <v>102</v>
      </c>
      <c r="G12" s="3"/>
      <c r="H12" s="3"/>
    </row>
    <row r="13" spans="1:8" s="62" customFormat="1" ht="12.75">
      <c r="A13" s="82"/>
      <c r="B13" s="1" t="s">
        <v>32</v>
      </c>
      <c r="C13" s="1"/>
      <c r="D13" s="2" t="s">
        <v>33</v>
      </c>
      <c r="E13" s="61">
        <f t="shared" si="0"/>
        <v>102</v>
      </c>
      <c r="F13" s="74">
        <f t="shared" si="0"/>
        <v>102</v>
      </c>
      <c r="G13" s="3"/>
      <c r="H13" s="3"/>
    </row>
    <row r="14" spans="1:8" s="62" customFormat="1" ht="38.25">
      <c r="A14" s="82"/>
      <c r="B14" s="1"/>
      <c r="C14" s="1" t="s">
        <v>227</v>
      </c>
      <c r="D14" s="16" t="s">
        <v>331</v>
      </c>
      <c r="E14" s="61">
        <f t="shared" si="0"/>
        <v>102</v>
      </c>
      <c r="F14" s="74">
        <f t="shared" si="0"/>
        <v>102</v>
      </c>
      <c r="G14" s="3"/>
      <c r="H14" s="3"/>
    </row>
    <row r="15" spans="1:8" s="62" customFormat="1" ht="25.5">
      <c r="A15" s="82"/>
      <c r="B15" s="1"/>
      <c r="C15" s="1" t="s">
        <v>121</v>
      </c>
      <c r="D15" s="16" t="s">
        <v>229</v>
      </c>
      <c r="E15" s="61">
        <v>102</v>
      </c>
      <c r="F15" s="426">
        <v>102</v>
      </c>
      <c r="G15" s="3"/>
      <c r="H15" s="3"/>
    </row>
    <row r="16" spans="1:8" s="62" customFormat="1" ht="12.75">
      <c r="A16" s="1" t="s">
        <v>80</v>
      </c>
      <c r="B16" s="1"/>
      <c r="C16" s="1"/>
      <c r="D16" s="16" t="s">
        <v>81</v>
      </c>
      <c r="E16" s="61">
        <f>E18</f>
        <v>0</v>
      </c>
      <c r="F16" s="74">
        <f>F18</f>
        <v>0</v>
      </c>
      <c r="G16" s="3"/>
      <c r="H16" s="3"/>
    </row>
    <row r="17" spans="1:8" s="62" customFormat="1" ht="25.5">
      <c r="A17" s="37"/>
      <c r="B17" s="1" t="s">
        <v>292</v>
      </c>
      <c r="C17" s="1"/>
      <c r="D17" s="16" t="s">
        <v>264</v>
      </c>
      <c r="E17" s="61">
        <f aca="true" t="shared" si="1" ref="E17:F19">E18</f>
        <v>0</v>
      </c>
      <c r="F17" s="74">
        <f t="shared" si="1"/>
        <v>0</v>
      </c>
      <c r="G17" s="70"/>
      <c r="H17" s="3"/>
    </row>
    <row r="18" spans="1:8" s="62" customFormat="1" ht="12.75">
      <c r="A18" s="63"/>
      <c r="B18" s="1" t="s">
        <v>84</v>
      </c>
      <c r="C18" s="1"/>
      <c r="D18" s="16" t="s">
        <v>85</v>
      </c>
      <c r="E18" s="61">
        <f t="shared" si="1"/>
        <v>0</v>
      </c>
      <c r="F18" s="74">
        <f t="shared" si="1"/>
        <v>0</v>
      </c>
      <c r="G18" s="70"/>
      <c r="H18" s="3"/>
    </row>
    <row r="19" spans="1:8" s="62" customFormat="1" ht="25.5">
      <c r="A19" s="63"/>
      <c r="B19" s="1"/>
      <c r="C19" s="1" t="s">
        <v>232</v>
      </c>
      <c r="D19" s="16" t="s">
        <v>403</v>
      </c>
      <c r="E19" s="61">
        <f t="shared" si="1"/>
        <v>0</v>
      </c>
      <c r="F19" s="74">
        <f t="shared" si="1"/>
        <v>0</v>
      </c>
      <c r="G19" s="70"/>
      <c r="H19" s="3"/>
    </row>
    <row r="20" spans="1:8" s="62" customFormat="1" ht="25.5">
      <c r="A20" s="63"/>
      <c r="B20" s="1"/>
      <c r="C20" s="1" t="s">
        <v>191</v>
      </c>
      <c r="D20" s="16" t="s">
        <v>367</v>
      </c>
      <c r="E20" s="61">
        <f>E21+E22</f>
        <v>0</v>
      </c>
      <c r="F20" s="74">
        <f>F21+F22</f>
        <v>0</v>
      </c>
      <c r="G20" s="70"/>
      <c r="H20" s="3"/>
    </row>
    <row r="21" spans="1:8" s="62" customFormat="1" ht="12.75">
      <c r="A21" s="63"/>
      <c r="B21" s="609" t="s">
        <v>400</v>
      </c>
      <c r="C21" s="1"/>
      <c r="D21" s="16" t="s">
        <v>401</v>
      </c>
      <c r="E21" s="61">
        <v>-250</v>
      </c>
      <c r="F21" s="426">
        <v>-250</v>
      </c>
      <c r="G21" s="70"/>
      <c r="H21" s="3"/>
    </row>
    <row r="22" spans="1:8" s="62" customFormat="1" ht="25.5">
      <c r="A22" s="63"/>
      <c r="B22" s="609"/>
      <c r="C22" s="1"/>
      <c r="D22" s="16" t="s">
        <v>402</v>
      </c>
      <c r="E22" s="61">
        <v>250</v>
      </c>
      <c r="F22" s="426">
        <v>250</v>
      </c>
      <c r="G22" s="70"/>
      <c r="H22" s="3"/>
    </row>
    <row r="23" spans="1:8" s="67" customFormat="1" ht="12.75">
      <c r="A23" s="19" t="s">
        <v>34</v>
      </c>
      <c r="B23" s="34"/>
      <c r="C23" s="34"/>
      <c r="D23" s="15" t="s">
        <v>35</v>
      </c>
      <c r="E23" s="66">
        <f>E24</f>
        <v>1278.7330000000002</v>
      </c>
      <c r="F23" s="66">
        <f>F24</f>
        <v>-7131.446</v>
      </c>
      <c r="G23" s="76"/>
      <c r="H23" s="4"/>
    </row>
    <row r="24" spans="1:8" s="62" customFormat="1" ht="12.75">
      <c r="A24" s="1" t="s">
        <v>124</v>
      </c>
      <c r="B24" s="1"/>
      <c r="C24" s="1"/>
      <c r="D24" s="16" t="s">
        <v>244</v>
      </c>
      <c r="E24" s="61">
        <f>E25+E30</f>
        <v>1278.7330000000002</v>
      </c>
      <c r="F24" s="61">
        <f>F25+F30</f>
        <v>-7131.446</v>
      </c>
      <c r="G24" s="70"/>
      <c r="H24" s="3"/>
    </row>
    <row r="25" spans="1:8" s="62" customFormat="1" ht="12.75">
      <c r="A25" s="1"/>
      <c r="B25" s="1" t="s">
        <v>245</v>
      </c>
      <c r="C25" s="1"/>
      <c r="D25" s="16" t="s">
        <v>246</v>
      </c>
      <c r="E25" s="61">
        <f aca="true" t="shared" si="2" ref="E25:F28">E26</f>
        <v>-6721.267</v>
      </c>
      <c r="F25" s="61">
        <f t="shared" si="2"/>
        <v>-7131.446</v>
      </c>
      <c r="G25" s="70"/>
      <c r="H25" s="3"/>
    </row>
    <row r="26" spans="1:8" s="62" customFormat="1" ht="12.75">
      <c r="A26" s="1"/>
      <c r="B26" s="1" t="s">
        <v>1099</v>
      </c>
      <c r="C26" s="1"/>
      <c r="D26" s="16" t="s">
        <v>1101</v>
      </c>
      <c r="E26" s="61">
        <f t="shared" si="2"/>
        <v>-6721.267</v>
      </c>
      <c r="F26" s="61">
        <f t="shared" si="2"/>
        <v>-7131.446</v>
      </c>
      <c r="G26" s="70"/>
      <c r="H26" s="3"/>
    </row>
    <row r="27" spans="1:8" s="62" customFormat="1" ht="38.25">
      <c r="A27" s="1"/>
      <c r="B27" s="1" t="s">
        <v>1100</v>
      </c>
      <c r="C27" s="1"/>
      <c r="D27" s="16" t="s">
        <v>1102</v>
      </c>
      <c r="E27" s="61">
        <f t="shared" si="2"/>
        <v>-6721.267</v>
      </c>
      <c r="F27" s="61">
        <f t="shared" si="2"/>
        <v>-7131.446</v>
      </c>
      <c r="G27" s="70"/>
      <c r="H27" s="3"/>
    </row>
    <row r="28" spans="1:8" s="62" customFormat="1" ht="25.5">
      <c r="A28" s="1"/>
      <c r="B28" s="1"/>
      <c r="C28" s="1" t="s">
        <v>210</v>
      </c>
      <c r="D28" s="16" t="s">
        <v>211</v>
      </c>
      <c r="E28" s="61">
        <f t="shared" si="2"/>
        <v>-6721.267</v>
      </c>
      <c r="F28" s="61">
        <f t="shared" si="2"/>
        <v>-7131.446</v>
      </c>
      <c r="G28" s="70"/>
      <c r="H28" s="3"/>
    </row>
    <row r="29" spans="1:8" s="62" customFormat="1" ht="25.5">
      <c r="A29" s="1"/>
      <c r="B29" s="1"/>
      <c r="C29" s="1" t="s">
        <v>8</v>
      </c>
      <c r="D29" s="16" t="s">
        <v>216</v>
      </c>
      <c r="E29" s="61">
        <v>-6721.267</v>
      </c>
      <c r="F29" s="61">
        <v>-7131.446</v>
      </c>
      <c r="G29" s="70"/>
      <c r="H29" s="3"/>
    </row>
    <row r="30" spans="1:8" s="62" customFormat="1" ht="12.75">
      <c r="A30" s="32"/>
      <c r="B30" s="1" t="s">
        <v>37</v>
      </c>
      <c r="C30" s="1"/>
      <c r="D30" s="16" t="s">
        <v>38</v>
      </c>
      <c r="E30" s="61">
        <f aca="true" t="shared" si="3" ref="E30:F33">E31</f>
        <v>8000</v>
      </c>
      <c r="F30" s="61">
        <f t="shared" si="3"/>
        <v>0</v>
      </c>
      <c r="G30" s="70"/>
      <c r="H30" s="3"/>
    </row>
    <row r="31" spans="1:8" s="62" customFormat="1" ht="51">
      <c r="A31" s="32"/>
      <c r="B31" s="1" t="s">
        <v>102</v>
      </c>
      <c r="C31" s="1"/>
      <c r="D31" s="16" t="s">
        <v>103</v>
      </c>
      <c r="E31" s="61">
        <f t="shared" si="3"/>
        <v>8000</v>
      </c>
      <c r="F31" s="61">
        <f t="shared" si="3"/>
        <v>0</v>
      </c>
      <c r="G31" s="70"/>
      <c r="H31" s="3"/>
    </row>
    <row r="32" spans="1:8" s="62" customFormat="1" ht="25.5">
      <c r="A32" s="32"/>
      <c r="B32" s="1" t="s">
        <v>1038</v>
      </c>
      <c r="C32" s="32"/>
      <c r="D32" s="126" t="s">
        <v>1039</v>
      </c>
      <c r="E32" s="61">
        <f t="shared" si="3"/>
        <v>8000</v>
      </c>
      <c r="F32" s="61">
        <f t="shared" si="3"/>
        <v>0</v>
      </c>
      <c r="G32" s="70"/>
      <c r="H32" s="3"/>
    </row>
    <row r="33" spans="1:8" s="62" customFormat="1" ht="12.75">
      <c r="A33" s="32"/>
      <c r="B33" s="32"/>
      <c r="C33" s="1" t="s">
        <v>212</v>
      </c>
      <c r="D33" s="16" t="s">
        <v>45</v>
      </c>
      <c r="E33" s="61">
        <f t="shared" si="3"/>
        <v>8000</v>
      </c>
      <c r="F33" s="61">
        <f t="shared" si="3"/>
        <v>0</v>
      </c>
      <c r="G33" s="70"/>
      <c r="H33" s="3"/>
    </row>
    <row r="34" spans="1:8" s="62" customFormat="1" ht="25.5">
      <c r="A34" s="32"/>
      <c r="B34" s="32"/>
      <c r="C34" s="1" t="s">
        <v>125</v>
      </c>
      <c r="D34" s="16" t="s">
        <v>290</v>
      </c>
      <c r="E34" s="61">
        <v>8000</v>
      </c>
      <c r="F34" s="426">
        <v>0</v>
      </c>
      <c r="G34" s="70"/>
      <c r="H34" s="3"/>
    </row>
    <row r="35" spans="1:8" s="67" customFormat="1" ht="12.75">
      <c r="A35" s="10" t="s">
        <v>50</v>
      </c>
      <c r="B35" s="10"/>
      <c r="C35" s="10"/>
      <c r="D35" s="15" t="s">
        <v>51</v>
      </c>
      <c r="E35" s="66">
        <f>E36+E47</f>
        <v>-11813.5</v>
      </c>
      <c r="F35" s="66">
        <f>F36+F47</f>
        <v>-16025.3</v>
      </c>
      <c r="G35" s="76"/>
      <c r="H35" s="4"/>
    </row>
    <row r="36" spans="1:8" s="62" customFormat="1" ht="12.75">
      <c r="A36" s="1" t="s">
        <v>12</v>
      </c>
      <c r="B36" s="1"/>
      <c r="C36" s="1"/>
      <c r="D36" s="16" t="s">
        <v>52</v>
      </c>
      <c r="E36" s="61">
        <f>E37+E41</f>
        <v>-12211</v>
      </c>
      <c r="F36" s="61">
        <f>F37+F41</f>
        <v>-16422.8</v>
      </c>
      <c r="G36" s="70"/>
      <c r="H36" s="3"/>
    </row>
    <row r="37" spans="1:8" s="62" customFormat="1" ht="12.75">
      <c r="A37" s="1"/>
      <c r="B37" s="1" t="s">
        <v>110</v>
      </c>
      <c r="C37" s="1"/>
      <c r="D37" s="16" t="s">
        <v>111</v>
      </c>
      <c r="E37" s="61">
        <f aca="true" t="shared" si="4" ref="E37:F39">E38</f>
        <v>13863.2</v>
      </c>
      <c r="F37" s="74">
        <f t="shared" si="4"/>
        <v>13863.2</v>
      </c>
      <c r="G37" s="3"/>
      <c r="H37" s="3"/>
    </row>
    <row r="38" spans="1:8" s="62" customFormat="1" ht="25.5">
      <c r="A38" s="1"/>
      <c r="B38" s="1" t="s">
        <v>196</v>
      </c>
      <c r="C38" s="1"/>
      <c r="D38" s="48" t="s">
        <v>250</v>
      </c>
      <c r="E38" s="61">
        <f t="shared" si="4"/>
        <v>13863.2</v>
      </c>
      <c r="F38" s="74">
        <f t="shared" si="4"/>
        <v>13863.2</v>
      </c>
      <c r="G38" s="3"/>
      <c r="H38" s="3"/>
    </row>
    <row r="39" spans="1:8" s="62" customFormat="1" ht="27.75" customHeight="1">
      <c r="A39" s="1"/>
      <c r="B39" s="1"/>
      <c r="C39" s="1" t="s">
        <v>232</v>
      </c>
      <c r="D39" s="48" t="s">
        <v>233</v>
      </c>
      <c r="E39" s="61">
        <f t="shared" si="4"/>
        <v>13863.2</v>
      </c>
      <c r="F39" s="74">
        <f t="shared" si="4"/>
        <v>13863.2</v>
      </c>
      <c r="G39" s="3"/>
      <c r="H39" s="3"/>
    </row>
    <row r="40" spans="1:8" s="62" customFormat="1" ht="12.75">
      <c r="A40" s="1"/>
      <c r="B40" s="1"/>
      <c r="C40" s="1" t="s">
        <v>132</v>
      </c>
      <c r="D40" s="16" t="s">
        <v>251</v>
      </c>
      <c r="E40" s="61">
        <v>13863.2</v>
      </c>
      <c r="F40" s="74">
        <v>13863.2</v>
      </c>
      <c r="G40" s="3"/>
      <c r="H40" s="3"/>
    </row>
    <row r="41" spans="1:8" s="62" customFormat="1" ht="12.75">
      <c r="A41" s="1"/>
      <c r="B41" s="1" t="s">
        <v>376</v>
      </c>
      <c r="C41" s="1"/>
      <c r="D41" s="16" t="s">
        <v>379</v>
      </c>
      <c r="E41" s="61">
        <f>E42</f>
        <v>-26074.2</v>
      </c>
      <c r="F41" s="74">
        <f>F42</f>
        <v>-30286</v>
      </c>
      <c r="G41" s="3"/>
      <c r="H41" s="3"/>
    </row>
    <row r="42" spans="1:8" s="62" customFormat="1" ht="25.5">
      <c r="A42" s="1"/>
      <c r="B42" s="1" t="s">
        <v>377</v>
      </c>
      <c r="C42" s="1"/>
      <c r="D42" s="16" t="s">
        <v>380</v>
      </c>
      <c r="E42" s="61">
        <f>E43+E45</f>
        <v>-26074.2</v>
      </c>
      <c r="F42" s="74">
        <f>F43+F45</f>
        <v>-30286</v>
      </c>
      <c r="G42" s="3"/>
      <c r="H42" s="3"/>
    </row>
    <row r="43" spans="1:8" s="62" customFormat="1" ht="25.5">
      <c r="A43" s="1"/>
      <c r="B43" s="1"/>
      <c r="C43" s="1" t="s">
        <v>210</v>
      </c>
      <c r="D43" s="16" t="s">
        <v>211</v>
      </c>
      <c r="E43" s="61">
        <f>E44</f>
        <v>-258.2</v>
      </c>
      <c r="F43" s="74">
        <f>F44</f>
        <v>-299.6</v>
      </c>
      <c r="G43" s="3"/>
      <c r="H43" s="3"/>
    </row>
    <row r="44" spans="1:8" s="62" customFormat="1" ht="25.5">
      <c r="A44" s="1"/>
      <c r="B44" s="1"/>
      <c r="C44" s="1" t="s">
        <v>8</v>
      </c>
      <c r="D44" s="16" t="s">
        <v>216</v>
      </c>
      <c r="E44" s="61">
        <v>-258.2</v>
      </c>
      <c r="F44" s="426">
        <v>-299.6</v>
      </c>
      <c r="G44" s="3"/>
      <c r="H44" s="3"/>
    </row>
    <row r="45" spans="1:8" s="62" customFormat="1" ht="12.75">
      <c r="A45" s="1"/>
      <c r="B45" s="1"/>
      <c r="C45" s="1" t="s">
        <v>225</v>
      </c>
      <c r="D45" s="16" t="s">
        <v>226</v>
      </c>
      <c r="E45" s="61">
        <f>E46</f>
        <v>-25816</v>
      </c>
      <c r="F45" s="74">
        <f>F46</f>
        <v>-29986.4</v>
      </c>
      <c r="G45" s="3"/>
      <c r="H45" s="3"/>
    </row>
    <row r="46" spans="1:8" s="62" customFormat="1" ht="12.75">
      <c r="A46" s="1"/>
      <c r="B46" s="1"/>
      <c r="C46" s="1" t="s">
        <v>378</v>
      </c>
      <c r="D46" s="16" t="s">
        <v>381</v>
      </c>
      <c r="E46" s="61">
        <v>-25816</v>
      </c>
      <c r="F46" s="426">
        <v>-29986.4</v>
      </c>
      <c r="G46" s="3"/>
      <c r="H46" s="3"/>
    </row>
    <row r="47" spans="1:8" s="62" customFormat="1" ht="12.75">
      <c r="A47" s="1" t="s">
        <v>5</v>
      </c>
      <c r="B47" s="1"/>
      <c r="C47" s="1"/>
      <c r="D47" s="16" t="s">
        <v>53</v>
      </c>
      <c r="E47" s="61">
        <f aca="true" t="shared" si="5" ref="E47:F50">E48</f>
        <v>397.5</v>
      </c>
      <c r="F47" s="61">
        <f t="shared" si="5"/>
        <v>397.5</v>
      </c>
      <c r="G47" s="3"/>
      <c r="H47" s="3"/>
    </row>
    <row r="48" spans="1:8" s="62" customFormat="1" ht="12.75">
      <c r="A48" s="1"/>
      <c r="B48" s="1" t="s">
        <v>356</v>
      </c>
      <c r="C48" s="1"/>
      <c r="D48" s="16" t="s">
        <v>358</v>
      </c>
      <c r="E48" s="61">
        <f t="shared" si="5"/>
        <v>397.5</v>
      </c>
      <c r="F48" s="61">
        <f t="shared" si="5"/>
        <v>397.5</v>
      </c>
      <c r="G48" s="3"/>
      <c r="H48" s="3"/>
    </row>
    <row r="49" spans="1:8" s="62" customFormat="1" ht="25.5">
      <c r="A49" s="1"/>
      <c r="B49" s="1" t="s">
        <v>357</v>
      </c>
      <c r="C49" s="1"/>
      <c r="D49" s="16" t="s">
        <v>359</v>
      </c>
      <c r="E49" s="61">
        <f t="shared" si="5"/>
        <v>397.5</v>
      </c>
      <c r="F49" s="61">
        <f t="shared" si="5"/>
        <v>397.5</v>
      </c>
      <c r="G49" s="3"/>
      <c r="H49" s="3"/>
    </row>
    <row r="50" spans="1:8" s="62" customFormat="1" ht="25.5">
      <c r="A50" s="1"/>
      <c r="B50" s="1"/>
      <c r="C50" s="1" t="s">
        <v>232</v>
      </c>
      <c r="D50" s="16" t="s">
        <v>403</v>
      </c>
      <c r="E50" s="61">
        <f t="shared" si="5"/>
        <v>397.5</v>
      </c>
      <c r="F50" s="61">
        <f t="shared" si="5"/>
        <v>397.5</v>
      </c>
      <c r="G50" s="3"/>
      <c r="H50" s="3"/>
    </row>
    <row r="51" spans="1:8" s="62" customFormat="1" ht="12.75">
      <c r="A51" s="1"/>
      <c r="B51" s="1"/>
      <c r="C51" s="1" t="s">
        <v>132</v>
      </c>
      <c r="D51" s="16" t="s">
        <v>251</v>
      </c>
      <c r="E51" s="61">
        <v>397.5</v>
      </c>
      <c r="F51" s="426">
        <v>397.5</v>
      </c>
      <c r="G51" s="3"/>
      <c r="H51" s="3"/>
    </row>
    <row r="52" spans="1:8" s="62" customFormat="1" ht="12.75">
      <c r="A52" s="10" t="s">
        <v>1103</v>
      </c>
      <c r="B52" s="10"/>
      <c r="C52" s="10"/>
      <c r="D52" s="8" t="s">
        <v>1104</v>
      </c>
      <c r="E52" s="66">
        <f>E53</f>
        <v>18432.767</v>
      </c>
      <c r="F52" s="66">
        <f>F53</f>
        <v>23054.746</v>
      </c>
      <c r="G52" s="3"/>
      <c r="H52" s="3"/>
    </row>
    <row r="53" spans="1:8" s="62" customFormat="1" ht="12.75">
      <c r="A53" s="1"/>
      <c r="B53" s="1" t="s">
        <v>1105</v>
      </c>
      <c r="C53" s="1"/>
      <c r="D53" s="2" t="s">
        <v>1104</v>
      </c>
      <c r="E53" s="61">
        <f>E54</f>
        <v>18432.767</v>
      </c>
      <c r="F53" s="61">
        <f>F54</f>
        <v>23054.746</v>
      </c>
      <c r="G53" s="3"/>
      <c r="H53" s="3"/>
    </row>
    <row r="54" spans="1:8" s="62" customFormat="1" ht="12.75">
      <c r="A54" s="1"/>
      <c r="B54" s="1"/>
      <c r="C54" s="1" t="s">
        <v>1106</v>
      </c>
      <c r="D54" s="2" t="s">
        <v>1104</v>
      </c>
      <c r="E54" s="61">
        <v>18432.767</v>
      </c>
      <c r="F54" s="426">
        <v>23054.746</v>
      </c>
      <c r="G54" s="3"/>
      <c r="H54" s="3"/>
    </row>
    <row r="55" spans="1:8" s="71" customFormat="1" ht="14.25">
      <c r="A55" s="72"/>
      <c r="B55" s="72"/>
      <c r="C55" s="72"/>
      <c r="D55" s="72" t="s">
        <v>0</v>
      </c>
      <c r="E55" s="66">
        <f>E9+E23+E35+E52</f>
        <v>8000</v>
      </c>
      <c r="F55" s="66">
        <f>F9+F23+F35+F52</f>
        <v>0</v>
      </c>
      <c r="G55" s="77"/>
      <c r="H55" s="77"/>
    </row>
    <row r="56" spans="1:6" ht="15">
      <c r="A56" s="78"/>
      <c r="B56" s="78"/>
      <c r="C56" s="78"/>
      <c r="D56" s="78"/>
      <c r="E56" s="79"/>
      <c r="F56" s="427"/>
    </row>
    <row r="57" spans="1:6" ht="15">
      <c r="A57" s="78"/>
      <c r="B57" s="78"/>
      <c r="C57" s="78"/>
      <c r="D57" s="75"/>
      <c r="E57" s="80"/>
      <c r="F57" s="428"/>
    </row>
    <row r="58" spans="1:6" ht="15">
      <c r="A58" s="78"/>
      <c r="B58" s="78"/>
      <c r="C58" s="78"/>
      <c r="D58" s="78"/>
      <c r="E58" s="78"/>
      <c r="F58" s="427"/>
    </row>
  </sheetData>
  <sheetProtection/>
  <mergeCells count="5">
    <mergeCell ref="D1:E1"/>
    <mergeCell ref="D2:E2"/>
    <mergeCell ref="D3:E3"/>
    <mergeCell ref="B21:B22"/>
    <mergeCell ref="A5:F6"/>
  </mergeCells>
  <printOptions/>
  <pageMargins left="0.1968503937007874" right="0" top="0.1968503937007874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O703"/>
  <sheetViews>
    <sheetView tabSelected="1" zoomScalePageLayoutView="0" workbookViewId="0" topLeftCell="A445">
      <selection activeCell="P459" sqref="P459"/>
    </sheetView>
  </sheetViews>
  <sheetFormatPr defaultColWidth="9.140625" defaultRowHeight="15"/>
  <cols>
    <col min="1" max="1" width="5.28125" style="62" customWidth="1"/>
    <col min="2" max="2" width="7.7109375" style="62" customWidth="1"/>
    <col min="3" max="3" width="9.28125" style="62" customWidth="1"/>
    <col min="4" max="4" width="5.28125" style="62" customWidth="1"/>
    <col min="5" max="5" width="69.00390625" style="62" customWidth="1"/>
    <col min="6" max="6" width="10.8515625" style="64" customWidth="1"/>
    <col min="7" max="7" width="9.8515625" style="62" hidden="1" customWidth="1"/>
    <col min="8" max="8" width="10.140625" style="62" hidden="1" customWidth="1"/>
    <col min="9" max="9" width="9.28125" style="62" hidden="1" customWidth="1"/>
    <col min="10" max="10" width="10.28125" style="62" hidden="1" customWidth="1"/>
    <col min="11" max="11" width="9.28125" style="62" hidden="1" customWidth="1"/>
    <col min="12" max="12" width="8.8515625" style="62" hidden="1" customWidth="1"/>
    <col min="13" max="13" width="11.00390625" style="62" hidden="1" customWidth="1"/>
    <col min="14" max="14" width="9.28125" style="62" hidden="1" customWidth="1"/>
    <col min="15" max="16" width="9.140625" style="3" customWidth="1"/>
    <col min="17" max="16384" width="9.140625" style="62" customWidth="1"/>
  </cols>
  <sheetData>
    <row r="1" spans="1:223" s="11" customFormat="1" ht="12.75">
      <c r="A1" s="595" t="s">
        <v>198</v>
      </c>
      <c r="B1" s="595"/>
      <c r="C1" s="595" t="s">
        <v>198</v>
      </c>
      <c r="D1" s="595"/>
      <c r="E1" s="575" t="s">
        <v>1186</v>
      </c>
      <c r="F1" s="575"/>
      <c r="G1" s="24"/>
      <c r="H1" s="24"/>
      <c r="I1" s="24"/>
      <c r="J1" s="24"/>
      <c r="K1" s="24"/>
      <c r="L1" s="2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</row>
    <row r="2" spans="1:223" s="11" customFormat="1" ht="12.75">
      <c r="A2" s="594" t="s">
        <v>199</v>
      </c>
      <c r="B2" s="594"/>
      <c r="C2" s="594" t="s">
        <v>199</v>
      </c>
      <c r="D2" s="594"/>
      <c r="E2" s="575" t="s">
        <v>199</v>
      </c>
      <c r="F2" s="575"/>
      <c r="G2" s="24"/>
      <c r="H2" s="24"/>
      <c r="I2" s="24"/>
      <c r="J2" s="24"/>
      <c r="K2" s="24"/>
      <c r="L2" s="2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</row>
    <row r="3" spans="1:223" s="11" customFormat="1" ht="12.75">
      <c r="A3" s="611" t="s">
        <v>200</v>
      </c>
      <c r="B3" s="611"/>
      <c r="C3" s="611" t="s">
        <v>200</v>
      </c>
      <c r="D3" s="611"/>
      <c r="E3" s="608" t="s">
        <v>1208</v>
      </c>
      <c r="F3" s="608"/>
      <c r="G3" s="24"/>
      <c r="H3" s="24"/>
      <c r="I3" s="24"/>
      <c r="J3" s="24"/>
      <c r="K3" s="24"/>
      <c r="L3" s="2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</row>
    <row r="4" spans="1:223" s="29" customFormat="1" ht="19.5" customHeight="1">
      <c r="A4" s="605" t="s">
        <v>201</v>
      </c>
      <c r="B4" s="605"/>
      <c r="C4" s="605"/>
      <c r="D4" s="605"/>
      <c r="E4" s="605"/>
      <c r="F4" s="605"/>
      <c r="G4" s="24"/>
      <c r="H4" s="24"/>
      <c r="I4" s="24"/>
      <c r="J4" s="24"/>
      <c r="K4" s="24"/>
      <c r="L4" s="24"/>
      <c r="M4" s="12"/>
      <c r="N4" s="12"/>
      <c r="O4" s="12"/>
      <c r="P4" s="12"/>
      <c r="Q4" s="12"/>
      <c r="R4" s="1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</row>
    <row r="5" spans="1:223" s="29" customFormat="1" ht="12.75">
      <c r="A5" s="26"/>
      <c r="B5" s="26"/>
      <c r="C5" s="26"/>
      <c r="D5" s="26"/>
      <c r="E5" s="27"/>
      <c r="F5" s="60"/>
      <c r="G5" s="24"/>
      <c r="H5" s="24"/>
      <c r="I5" s="24"/>
      <c r="J5" s="24"/>
      <c r="K5" s="24"/>
      <c r="L5" s="24"/>
      <c r="M5" s="12"/>
      <c r="N5" s="12"/>
      <c r="O5" s="12"/>
      <c r="P5" s="12"/>
      <c r="Q5" s="12"/>
      <c r="R5" s="1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</row>
    <row r="6" spans="1:223" s="100" customFormat="1" ht="22.5" customHeight="1">
      <c r="A6" s="7" t="s">
        <v>202</v>
      </c>
      <c r="B6" s="7" t="s">
        <v>203</v>
      </c>
      <c r="C6" s="97" t="s">
        <v>328</v>
      </c>
      <c r="D6" s="7" t="s">
        <v>327</v>
      </c>
      <c r="E6" s="7" t="s">
        <v>21</v>
      </c>
      <c r="F6" s="414" t="s">
        <v>22</v>
      </c>
      <c r="G6" s="448" t="s">
        <v>72</v>
      </c>
      <c r="H6" s="144" t="s">
        <v>73</v>
      </c>
      <c r="I6" s="458" t="s">
        <v>204</v>
      </c>
      <c r="J6" s="30" t="s">
        <v>74</v>
      </c>
      <c r="K6" s="31" t="s">
        <v>75</v>
      </c>
      <c r="L6" s="468" t="s">
        <v>205</v>
      </c>
      <c r="M6" s="478" t="s">
        <v>182</v>
      </c>
      <c r="N6" s="488" t="s">
        <v>173</v>
      </c>
      <c r="O6" s="98"/>
      <c r="P6" s="98"/>
      <c r="Q6" s="99" t="s">
        <v>206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</row>
    <row r="7" spans="1:223" s="413" customFormat="1" ht="8.25">
      <c r="A7" s="32" t="s">
        <v>23</v>
      </c>
      <c r="B7" s="32" t="s">
        <v>24</v>
      </c>
      <c r="C7" s="405" t="s">
        <v>25</v>
      </c>
      <c r="D7" s="32" t="s">
        <v>207</v>
      </c>
      <c r="E7" s="406" t="s">
        <v>208</v>
      </c>
      <c r="F7" s="407">
        <v>6</v>
      </c>
      <c r="G7" s="449">
        <v>7</v>
      </c>
      <c r="H7" s="408">
        <v>8</v>
      </c>
      <c r="I7" s="459">
        <v>9</v>
      </c>
      <c r="J7" s="409">
        <v>10</v>
      </c>
      <c r="K7" s="410">
        <v>11</v>
      </c>
      <c r="L7" s="477">
        <v>12</v>
      </c>
      <c r="M7" s="479">
        <v>13</v>
      </c>
      <c r="N7" s="497">
        <v>14</v>
      </c>
      <c r="O7" s="411"/>
      <c r="P7" s="411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  <c r="DE7" s="412"/>
      <c r="DF7" s="412"/>
      <c r="DG7" s="412"/>
      <c r="DH7" s="412"/>
      <c r="DI7" s="412"/>
      <c r="DJ7" s="412"/>
      <c r="DK7" s="412"/>
      <c r="DL7" s="412"/>
      <c r="DM7" s="412"/>
      <c r="DN7" s="412"/>
      <c r="DO7" s="412"/>
      <c r="DP7" s="412"/>
      <c r="DQ7" s="412"/>
      <c r="DR7" s="412"/>
      <c r="DS7" s="412"/>
      <c r="DT7" s="412"/>
      <c r="DU7" s="412"/>
      <c r="DV7" s="412"/>
      <c r="DW7" s="412"/>
      <c r="DX7" s="412"/>
      <c r="DY7" s="412"/>
      <c r="DZ7" s="412"/>
      <c r="EA7" s="412"/>
      <c r="EB7" s="412"/>
      <c r="EC7" s="412"/>
      <c r="ED7" s="412"/>
      <c r="EE7" s="412"/>
      <c r="EF7" s="412"/>
      <c r="EG7" s="412"/>
      <c r="EH7" s="412"/>
      <c r="EI7" s="412"/>
      <c r="EJ7" s="412"/>
      <c r="EK7" s="412"/>
      <c r="EL7" s="412"/>
      <c r="EM7" s="412"/>
      <c r="EN7" s="412"/>
      <c r="EO7" s="412"/>
      <c r="EP7" s="412"/>
      <c r="EQ7" s="412"/>
      <c r="ER7" s="412"/>
      <c r="ES7" s="412"/>
      <c r="ET7" s="412"/>
      <c r="EU7" s="412"/>
      <c r="EV7" s="412"/>
      <c r="EW7" s="412"/>
      <c r="EX7" s="412"/>
      <c r="EY7" s="412"/>
      <c r="EZ7" s="412"/>
      <c r="FA7" s="412"/>
      <c r="FB7" s="412"/>
      <c r="FC7" s="412"/>
      <c r="FD7" s="412"/>
      <c r="FE7" s="412"/>
      <c r="FF7" s="412"/>
      <c r="FG7" s="412"/>
      <c r="FH7" s="412"/>
      <c r="FI7" s="412"/>
      <c r="FJ7" s="412"/>
      <c r="FK7" s="412"/>
      <c r="FL7" s="412"/>
      <c r="FM7" s="412"/>
      <c r="FN7" s="412"/>
      <c r="FO7" s="412"/>
      <c r="FP7" s="412"/>
      <c r="FQ7" s="412"/>
      <c r="FR7" s="412"/>
      <c r="FS7" s="412"/>
      <c r="FT7" s="412"/>
      <c r="FU7" s="412"/>
      <c r="FV7" s="412"/>
      <c r="FW7" s="412"/>
      <c r="FX7" s="412"/>
      <c r="FY7" s="412"/>
      <c r="FZ7" s="412"/>
      <c r="GA7" s="412"/>
      <c r="GB7" s="412"/>
      <c r="GC7" s="412"/>
      <c r="GD7" s="412"/>
      <c r="GE7" s="412"/>
      <c r="GF7" s="412"/>
      <c r="GG7" s="412"/>
      <c r="GH7" s="412"/>
      <c r="GI7" s="412"/>
      <c r="GJ7" s="412"/>
      <c r="GK7" s="412"/>
      <c r="GL7" s="412"/>
      <c r="GM7" s="412"/>
      <c r="GN7" s="412"/>
      <c r="GO7" s="412"/>
      <c r="GP7" s="412"/>
      <c r="GQ7" s="412"/>
      <c r="GR7" s="412"/>
      <c r="GS7" s="412"/>
      <c r="GT7" s="412"/>
      <c r="GU7" s="412"/>
      <c r="GV7" s="412"/>
      <c r="GW7" s="412"/>
      <c r="GX7" s="412"/>
      <c r="GY7" s="412"/>
      <c r="GZ7" s="412"/>
      <c r="HA7" s="412"/>
      <c r="HB7" s="412"/>
      <c r="HC7" s="412"/>
      <c r="HD7" s="412"/>
      <c r="HE7" s="412"/>
      <c r="HF7" s="412"/>
      <c r="HG7" s="412"/>
      <c r="HH7" s="412"/>
      <c r="HI7" s="412"/>
      <c r="HJ7" s="412"/>
      <c r="HK7" s="412"/>
      <c r="HL7" s="412"/>
      <c r="HM7" s="412"/>
      <c r="HN7" s="412"/>
      <c r="HO7" s="412"/>
    </row>
    <row r="8" spans="1:14" ht="25.5">
      <c r="A8" s="10" t="s">
        <v>133</v>
      </c>
      <c r="B8" s="10"/>
      <c r="C8" s="58"/>
      <c r="D8" s="10"/>
      <c r="E8" s="47" t="s">
        <v>183</v>
      </c>
      <c r="F8" s="66">
        <f>F9+F31+F87+F94+F106</f>
        <v>-30961.481</v>
      </c>
      <c r="G8" s="66">
        <f aca="true" t="shared" si="0" ref="G8:N8">G9+G31+G87+G94+G106</f>
        <v>1797.8600000000001</v>
      </c>
      <c r="H8" s="66">
        <f t="shared" si="0"/>
        <v>0</v>
      </c>
      <c r="I8" s="66">
        <f t="shared" si="0"/>
        <v>-1452.5</v>
      </c>
      <c r="J8" s="66">
        <f t="shared" si="0"/>
        <v>-49587.9</v>
      </c>
      <c r="K8" s="66">
        <f t="shared" si="0"/>
        <v>0</v>
      </c>
      <c r="L8" s="66">
        <f t="shared" si="0"/>
        <v>-2225</v>
      </c>
      <c r="M8" s="66">
        <f t="shared" si="0"/>
        <v>20506.058999999997</v>
      </c>
      <c r="N8" s="66">
        <f t="shared" si="0"/>
        <v>0</v>
      </c>
    </row>
    <row r="9" spans="1:14" ht="12.75">
      <c r="A9" s="10"/>
      <c r="B9" s="1" t="s">
        <v>26</v>
      </c>
      <c r="C9" s="59"/>
      <c r="D9" s="1"/>
      <c r="E9" s="16" t="s">
        <v>27</v>
      </c>
      <c r="F9" s="61">
        <f>F10</f>
        <v>324.10600000000005</v>
      </c>
      <c r="G9" s="451">
        <f aca="true" t="shared" si="1" ref="G9:N9">G10</f>
        <v>599.96</v>
      </c>
      <c r="H9" s="141">
        <f t="shared" si="1"/>
        <v>0</v>
      </c>
      <c r="I9" s="461">
        <f t="shared" si="1"/>
        <v>0</v>
      </c>
      <c r="J9" s="89">
        <f t="shared" si="1"/>
        <v>-309.4</v>
      </c>
      <c r="K9" s="93">
        <f t="shared" si="1"/>
        <v>0</v>
      </c>
      <c r="L9" s="471">
        <f t="shared" si="1"/>
        <v>0</v>
      </c>
      <c r="M9" s="481">
        <f t="shared" si="1"/>
        <v>33.546</v>
      </c>
      <c r="N9" s="491">
        <f t="shared" si="1"/>
        <v>0</v>
      </c>
    </row>
    <row r="10" spans="1:14" ht="12.75">
      <c r="A10" s="10"/>
      <c r="B10" s="1" t="s">
        <v>80</v>
      </c>
      <c r="C10" s="59"/>
      <c r="D10" s="1"/>
      <c r="E10" s="16" t="s">
        <v>81</v>
      </c>
      <c r="F10" s="61">
        <f>F11+F16+F23</f>
        <v>324.10600000000005</v>
      </c>
      <c r="G10" s="451">
        <f aca="true" t="shared" si="2" ref="G10:N10">G11+G16+G23</f>
        <v>599.96</v>
      </c>
      <c r="H10" s="141">
        <f t="shared" si="2"/>
        <v>0</v>
      </c>
      <c r="I10" s="461">
        <f t="shared" si="2"/>
        <v>0</v>
      </c>
      <c r="J10" s="89">
        <f t="shared" si="2"/>
        <v>-309.4</v>
      </c>
      <c r="K10" s="93">
        <f t="shared" si="2"/>
        <v>0</v>
      </c>
      <c r="L10" s="471">
        <f t="shared" si="2"/>
        <v>0</v>
      </c>
      <c r="M10" s="481">
        <f t="shared" si="2"/>
        <v>33.546</v>
      </c>
      <c r="N10" s="491">
        <f t="shared" si="2"/>
        <v>0</v>
      </c>
    </row>
    <row r="11" spans="1:14" ht="25.5">
      <c r="A11" s="10"/>
      <c r="B11" s="1"/>
      <c r="C11" s="59" t="s">
        <v>386</v>
      </c>
      <c r="D11" s="1"/>
      <c r="E11" s="16" t="s">
        <v>389</v>
      </c>
      <c r="F11" s="61">
        <f>F12</f>
        <v>599.96</v>
      </c>
      <c r="G11" s="451">
        <f aca="true" t="shared" si="3" ref="G11:N14">G12</f>
        <v>599.96</v>
      </c>
      <c r="H11" s="141">
        <f t="shared" si="3"/>
        <v>0</v>
      </c>
      <c r="I11" s="461">
        <f t="shared" si="3"/>
        <v>0</v>
      </c>
      <c r="J11" s="89">
        <f t="shared" si="3"/>
        <v>0</v>
      </c>
      <c r="K11" s="93">
        <f t="shared" si="3"/>
        <v>0</v>
      </c>
      <c r="L11" s="471">
        <f t="shared" si="3"/>
        <v>0</v>
      </c>
      <c r="M11" s="481">
        <f t="shared" si="3"/>
        <v>0</v>
      </c>
      <c r="N11" s="491">
        <f t="shared" si="3"/>
        <v>0</v>
      </c>
    </row>
    <row r="12" spans="1:14" ht="12.75">
      <c r="A12" s="10"/>
      <c r="B12" s="1"/>
      <c r="C12" s="59" t="s">
        <v>387</v>
      </c>
      <c r="D12" s="1"/>
      <c r="E12" s="16" t="s">
        <v>390</v>
      </c>
      <c r="F12" s="61">
        <f>F13</f>
        <v>599.96</v>
      </c>
      <c r="G12" s="451">
        <f t="shared" si="3"/>
        <v>599.96</v>
      </c>
      <c r="H12" s="141">
        <f t="shared" si="3"/>
        <v>0</v>
      </c>
      <c r="I12" s="461">
        <f t="shared" si="3"/>
        <v>0</v>
      </c>
      <c r="J12" s="89">
        <f t="shared" si="3"/>
        <v>0</v>
      </c>
      <c r="K12" s="93">
        <f t="shared" si="3"/>
        <v>0</v>
      </c>
      <c r="L12" s="471">
        <f t="shared" si="3"/>
        <v>0</v>
      </c>
      <c r="M12" s="481">
        <f t="shared" si="3"/>
        <v>0</v>
      </c>
      <c r="N12" s="491">
        <f t="shared" si="3"/>
        <v>0</v>
      </c>
    </row>
    <row r="13" spans="1:14" ht="12.75">
      <c r="A13" s="10"/>
      <c r="B13" s="1"/>
      <c r="C13" s="59" t="s">
        <v>388</v>
      </c>
      <c r="D13" s="1"/>
      <c r="E13" s="16" t="s">
        <v>390</v>
      </c>
      <c r="F13" s="61">
        <f>F14</f>
        <v>599.96</v>
      </c>
      <c r="G13" s="451">
        <f t="shared" si="3"/>
        <v>599.96</v>
      </c>
      <c r="H13" s="141">
        <f t="shared" si="3"/>
        <v>0</v>
      </c>
      <c r="I13" s="461">
        <f t="shared" si="3"/>
        <v>0</v>
      </c>
      <c r="J13" s="89">
        <f t="shared" si="3"/>
        <v>0</v>
      </c>
      <c r="K13" s="93">
        <f t="shared" si="3"/>
        <v>0</v>
      </c>
      <c r="L13" s="471">
        <f t="shared" si="3"/>
        <v>0</v>
      </c>
      <c r="M13" s="481">
        <f t="shared" si="3"/>
        <v>0</v>
      </c>
      <c r="N13" s="491">
        <f t="shared" si="3"/>
        <v>0</v>
      </c>
    </row>
    <row r="14" spans="1:14" ht="12.75">
      <c r="A14" s="10"/>
      <c r="B14" s="1"/>
      <c r="C14" s="59"/>
      <c r="D14" s="1" t="s">
        <v>210</v>
      </c>
      <c r="E14" s="2" t="s">
        <v>211</v>
      </c>
      <c r="F14" s="61">
        <f>F15</f>
        <v>599.96</v>
      </c>
      <c r="G14" s="451">
        <f t="shared" si="3"/>
        <v>599.96</v>
      </c>
      <c r="H14" s="141">
        <f t="shared" si="3"/>
        <v>0</v>
      </c>
      <c r="I14" s="461">
        <f t="shared" si="3"/>
        <v>0</v>
      </c>
      <c r="J14" s="89">
        <f t="shared" si="3"/>
        <v>0</v>
      </c>
      <c r="K14" s="93">
        <f t="shared" si="3"/>
        <v>0</v>
      </c>
      <c r="L14" s="471">
        <f t="shared" si="3"/>
        <v>0</v>
      </c>
      <c r="M14" s="481">
        <f t="shared" si="3"/>
        <v>0</v>
      </c>
      <c r="N14" s="491">
        <f t="shared" si="3"/>
        <v>0</v>
      </c>
    </row>
    <row r="15" spans="1:14" ht="12.75">
      <c r="A15" s="10"/>
      <c r="B15" s="1"/>
      <c r="C15" s="59"/>
      <c r="D15" s="1" t="s">
        <v>8</v>
      </c>
      <c r="E15" s="2" t="s">
        <v>216</v>
      </c>
      <c r="F15" s="61">
        <f>G15+H15+I15+J15+K15+L15+M15+N15</f>
        <v>599.96</v>
      </c>
      <c r="G15" s="451">
        <f>599.96</f>
        <v>599.96</v>
      </c>
      <c r="H15" s="141"/>
      <c r="I15" s="461"/>
      <c r="J15" s="89"/>
      <c r="K15" s="93"/>
      <c r="L15" s="471"/>
      <c r="M15" s="481"/>
      <c r="N15" s="491"/>
    </row>
    <row r="16" spans="1:14" ht="12.75">
      <c r="A16" s="63"/>
      <c r="B16" s="63"/>
      <c r="C16" s="59" t="s">
        <v>66</v>
      </c>
      <c r="D16" s="1"/>
      <c r="E16" s="2" t="s">
        <v>67</v>
      </c>
      <c r="F16" s="61">
        <f aca="true" t="shared" si="4" ref="F16:F31">G16+H16+I16+J16+K16+L16+M16+N16</f>
        <v>-309.4</v>
      </c>
      <c r="G16" s="452">
        <f aca="true" t="shared" si="5" ref="G16:N17">G17</f>
        <v>0</v>
      </c>
      <c r="H16" s="142">
        <f t="shared" si="5"/>
        <v>0</v>
      </c>
      <c r="I16" s="462">
        <f t="shared" si="5"/>
        <v>0</v>
      </c>
      <c r="J16" s="90">
        <f t="shared" si="5"/>
        <v>-309.4</v>
      </c>
      <c r="K16" s="94">
        <f t="shared" si="5"/>
        <v>0</v>
      </c>
      <c r="L16" s="474">
        <f t="shared" si="5"/>
        <v>0</v>
      </c>
      <c r="M16" s="482">
        <f t="shared" si="5"/>
        <v>0</v>
      </c>
      <c r="N16" s="494">
        <f t="shared" si="5"/>
        <v>0</v>
      </c>
    </row>
    <row r="17" spans="1:14" ht="25.5" customHeight="1">
      <c r="A17" s="63"/>
      <c r="B17" s="63"/>
      <c r="C17" s="59" t="s">
        <v>236</v>
      </c>
      <c r="D17" s="1"/>
      <c r="E17" s="2" t="s">
        <v>237</v>
      </c>
      <c r="F17" s="61">
        <f t="shared" si="4"/>
        <v>-309.4</v>
      </c>
      <c r="G17" s="452">
        <f t="shared" si="5"/>
        <v>0</v>
      </c>
      <c r="H17" s="142">
        <f t="shared" si="5"/>
        <v>0</v>
      </c>
      <c r="I17" s="462">
        <f t="shared" si="5"/>
        <v>0</v>
      </c>
      <c r="J17" s="90">
        <f t="shared" si="5"/>
        <v>-309.4</v>
      </c>
      <c r="K17" s="94">
        <f t="shared" si="5"/>
        <v>0</v>
      </c>
      <c r="L17" s="474">
        <f t="shared" si="5"/>
        <v>0</v>
      </c>
      <c r="M17" s="482">
        <f t="shared" si="5"/>
        <v>0</v>
      </c>
      <c r="N17" s="494">
        <f t="shared" si="5"/>
        <v>0</v>
      </c>
    </row>
    <row r="18" spans="1:14" ht="38.25">
      <c r="A18" s="63"/>
      <c r="B18" s="63"/>
      <c r="C18" s="59" t="s">
        <v>192</v>
      </c>
      <c r="D18" s="1"/>
      <c r="E18" s="2" t="s">
        <v>144</v>
      </c>
      <c r="F18" s="61">
        <f t="shared" si="4"/>
        <v>-309.4</v>
      </c>
      <c r="G18" s="452">
        <f aca="true" t="shared" si="6" ref="G18:N18">G19+G21</f>
        <v>0</v>
      </c>
      <c r="H18" s="142">
        <f t="shared" si="6"/>
        <v>0</v>
      </c>
      <c r="I18" s="462">
        <f t="shared" si="6"/>
        <v>0</v>
      </c>
      <c r="J18" s="90">
        <f t="shared" si="6"/>
        <v>-309.4</v>
      </c>
      <c r="K18" s="94">
        <f t="shared" si="6"/>
        <v>0</v>
      </c>
      <c r="L18" s="474">
        <f t="shared" si="6"/>
        <v>0</v>
      </c>
      <c r="M18" s="482">
        <f t="shared" si="6"/>
        <v>0</v>
      </c>
      <c r="N18" s="494">
        <f t="shared" si="6"/>
        <v>0</v>
      </c>
    </row>
    <row r="19" spans="1:14" ht="27" customHeight="1">
      <c r="A19" s="63"/>
      <c r="B19" s="63"/>
      <c r="C19" s="59"/>
      <c r="D19" s="1" t="s">
        <v>227</v>
      </c>
      <c r="E19" s="2" t="s">
        <v>228</v>
      </c>
      <c r="F19" s="61">
        <f>G19+H19+I19+J19+K19+L19+M19+N19</f>
        <v>-196.6</v>
      </c>
      <c r="G19" s="452">
        <f aca="true" t="shared" si="7" ref="G19:N19">G20</f>
        <v>0</v>
      </c>
      <c r="H19" s="142">
        <f t="shared" si="7"/>
        <v>0</v>
      </c>
      <c r="I19" s="462">
        <f t="shared" si="7"/>
        <v>0</v>
      </c>
      <c r="J19" s="90">
        <f t="shared" si="7"/>
        <v>-196.6</v>
      </c>
      <c r="K19" s="94">
        <f t="shared" si="7"/>
        <v>0</v>
      </c>
      <c r="L19" s="474">
        <f t="shared" si="7"/>
        <v>0</v>
      </c>
      <c r="M19" s="482">
        <f t="shared" si="7"/>
        <v>0</v>
      </c>
      <c r="N19" s="494">
        <f t="shared" si="7"/>
        <v>0</v>
      </c>
    </row>
    <row r="20" spans="1:14" ht="12.75">
      <c r="A20" s="63"/>
      <c r="B20" s="63"/>
      <c r="C20" s="59"/>
      <c r="D20" s="1" t="s">
        <v>121</v>
      </c>
      <c r="E20" s="2" t="s">
        <v>229</v>
      </c>
      <c r="F20" s="61">
        <f t="shared" si="4"/>
        <v>-196.6</v>
      </c>
      <c r="G20" s="452"/>
      <c r="H20" s="142"/>
      <c r="I20" s="462"/>
      <c r="J20" s="90">
        <v>-196.6</v>
      </c>
      <c r="K20" s="94"/>
      <c r="L20" s="474"/>
      <c r="M20" s="482"/>
      <c r="N20" s="494"/>
    </row>
    <row r="21" spans="1:14" ht="12.75">
      <c r="A21" s="63"/>
      <c r="B21" s="63"/>
      <c r="C21" s="59"/>
      <c r="D21" s="1" t="s">
        <v>210</v>
      </c>
      <c r="E21" s="2" t="s">
        <v>211</v>
      </c>
      <c r="F21" s="61">
        <f t="shared" si="4"/>
        <v>-112.8</v>
      </c>
      <c r="G21" s="452">
        <f aca="true" t="shared" si="8" ref="G21:N21">G22</f>
        <v>0</v>
      </c>
      <c r="H21" s="142">
        <f t="shared" si="8"/>
        <v>0</v>
      </c>
      <c r="I21" s="462">
        <f t="shared" si="8"/>
        <v>0</v>
      </c>
      <c r="J21" s="90">
        <f t="shared" si="8"/>
        <v>-112.8</v>
      </c>
      <c r="K21" s="94">
        <f t="shared" si="8"/>
        <v>0</v>
      </c>
      <c r="L21" s="474">
        <f t="shared" si="8"/>
        <v>0</v>
      </c>
      <c r="M21" s="482">
        <f t="shared" si="8"/>
        <v>0</v>
      </c>
      <c r="N21" s="494">
        <f t="shared" si="8"/>
        <v>0</v>
      </c>
    </row>
    <row r="22" spans="1:14" ht="12.75">
      <c r="A22" s="63"/>
      <c r="B22" s="63"/>
      <c r="C22" s="59"/>
      <c r="D22" s="1" t="s">
        <v>8</v>
      </c>
      <c r="E22" s="2" t="s">
        <v>216</v>
      </c>
      <c r="F22" s="61">
        <f t="shared" si="4"/>
        <v>-112.8</v>
      </c>
      <c r="G22" s="452"/>
      <c r="H22" s="142"/>
      <c r="I22" s="462"/>
      <c r="J22" s="90">
        <v>-112.8</v>
      </c>
      <c r="K22" s="94"/>
      <c r="L22" s="474"/>
      <c r="M22" s="482"/>
      <c r="N22" s="494"/>
    </row>
    <row r="23" spans="1:14" ht="12.75">
      <c r="A23" s="63"/>
      <c r="B23" s="63"/>
      <c r="C23" s="59" t="s">
        <v>37</v>
      </c>
      <c r="D23" s="1"/>
      <c r="E23" s="16" t="s">
        <v>213</v>
      </c>
      <c r="F23" s="61">
        <f>F24</f>
        <v>33.546</v>
      </c>
      <c r="G23" s="451">
        <f aca="true" t="shared" si="9" ref="G23:N23">G24</f>
        <v>0</v>
      </c>
      <c r="H23" s="141">
        <f t="shared" si="9"/>
        <v>0</v>
      </c>
      <c r="I23" s="461">
        <f t="shared" si="9"/>
        <v>0</v>
      </c>
      <c r="J23" s="89">
        <f t="shared" si="9"/>
        <v>0</v>
      </c>
      <c r="K23" s="93">
        <f t="shared" si="9"/>
        <v>0</v>
      </c>
      <c r="L23" s="471">
        <f t="shared" si="9"/>
        <v>0</v>
      </c>
      <c r="M23" s="481">
        <f t="shared" si="9"/>
        <v>33.546</v>
      </c>
      <c r="N23" s="491">
        <f t="shared" si="9"/>
        <v>0</v>
      </c>
    </row>
    <row r="24" spans="1:14" ht="25.5">
      <c r="A24" s="63"/>
      <c r="B24" s="63"/>
      <c r="C24" s="59" t="s">
        <v>39</v>
      </c>
      <c r="D24" s="1"/>
      <c r="E24" s="16" t="s">
        <v>40</v>
      </c>
      <c r="F24" s="61">
        <f>F25+F28</f>
        <v>33.546</v>
      </c>
      <c r="G24" s="451">
        <f aca="true" t="shared" si="10" ref="G24:N24">G25+G28</f>
        <v>0</v>
      </c>
      <c r="H24" s="141">
        <f t="shared" si="10"/>
        <v>0</v>
      </c>
      <c r="I24" s="461">
        <f t="shared" si="10"/>
        <v>0</v>
      </c>
      <c r="J24" s="89">
        <f t="shared" si="10"/>
        <v>0</v>
      </c>
      <c r="K24" s="93">
        <f t="shared" si="10"/>
        <v>0</v>
      </c>
      <c r="L24" s="471">
        <f t="shared" si="10"/>
        <v>0</v>
      </c>
      <c r="M24" s="481">
        <f t="shared" si="10"/>
        <v>33.546</v>
      </c>
      <c r="N24" s="491">
        <f t="shared" si="10"/>
        <v>0</v>
      </c>
    </row>
    <row r="25" spans="1:14" s="3" customFormat="1" ht="25.5">
      <c r="A25" s="81"/>
      <c r="B25" s="81"/>
      <c r="C25" s="59" t="s">
        <v>95</v>
      </c>
      <c r="D25" s="1"/>
      <c r="E25" s="16" t="s">
        <v>145</v>
      </c>
      <c r="F25" s="74">
        <f>F26</f>
        <v>4.446</v>
      </c>
      <c r="G25" s="451">
        <f aca="true" t="shared" si="11" ref="G25:N26">G26</f>
        <v>0</v>
      </c>
      <c r="H25" s="141">
        <f t="shared" si="11"/>
        <v>0</v>
      </c>
      <c r="I25" s="461">
        <f t="shared" si="11"/>
        <v>0</v>
      </c>
      <c r="J25" s="89">
        <f t="shared" si="11"/>
        <v>0</v>
      </c>
      <c r="K25" s="93">
        <f t="shared" si="11"/>
        <v>0</v>
      </c>
      <c r="L25" s="471">
        <f t="shared" si="11"/>
        <v>0</v>
      </c>
      <c r="M25" s="481">
        <f t="shared" si="11"/>
        <v>4.446</v>
      </c>
      <c r="N25" s="491">
        <f t="shared" si="11"/>
        <v>0</v>
      </c>
    </row>
    <row r="26" spans="1:14" s="3" customFormat="1" ht="12.75">
      <c r="A26" s="81"/>
      <c r="B26" s="81"/>
      <c r="C26" s="59"/>
      <c r="D26" s="1" t="s">
        <v>210</v>
      </c>
      <c r="E26" s="16" t="s">
        <v>211</v>
      </c>
      <c r="F26" s="74">
        <f>F27</f>
        <v>4.446</v>
      </c>
      <c r="G26" s="451">
        <f t="shared" si="11"/>
        <v>0</v>
      </c>
      <c r="H26" s="141">
        <f t="shared" si="11"/>
        <v>0</v>
      </c>
      <c r="I26" s="461">
        <f t="shared" si="11"/>
        <v>0</v>
      </c>
      <c r="J26" s="89">
        <f t="shared" si="11"/>
        <v>0</v>
      </c>
      <c r="K26" s="93">
        <f t="shared" si="11"/>
        <v>0</v>
      </c>
      <c r="L26" s="471">
        <f t="shared" si="11"/>
        <v>0</v>
      </c>
      <c r="M26" s="481">
        <f t="shared" si="11"/>
        <v>4.446</v>
      </c>
      <c r="N26" s="491">
        <f t="shared" si="11"/>
        <v>0</v>
      </c>
    </row>
    <row r="27" spans="1:14" s="3" customFormat="1" ht="12.75">
      <c r="A27" s="81"/>
      <c r="B27" s="81"/>
      <c r="C27" s="59"/>
      <c r="D27" s="1" t="s">
        <v>8</v>
      </c>
      <c r="E27" s="16" t="s">
        <v>216</v>
      </c>
      <c r="F27" s="61">
        <f t="shared" si="4"/>
        <v>4.446</v>
      </c>
      <c r="G27" s="451"/>
      <c r="H27" s="141"/>
      <c r="I27" s="461"/>
      <c r="J27" s="89"/>
      <c r="K27" s="93"/>
      <c r="L27" s="471"/>
      <c r="M27" s="481">
        <v>4.446</v>
      </c>
      <c r="N27" s="491"/>
    </row>
    <row r="28" spans="1:14" ht="25.5">
      <c r="A28" s="63"/>
      <c r="B28" s="63"/>
      <c r="C28" s="59" t="s">
        <v>271</v>
      </c>
      <c r="D28" s="1"/>
      <c r="E28" s="16" t="s">
        <v>146</v>
      </c>
      <c r="F28" s="61">
        <f>F29</f>
        <v>29.1</v>
      </c>
      <c r="G28" s="451">
        <f aca="true" t="shared" si="12" ref="G28:N29">G29</f>
        <v>0</v>
      </c>
      <c r="H28" s="141">
        <f t="shared" si="12"/>
        <v>0</v>
      </c>
      <c r="I28" s="461">
        <f t="shared" si="12"/>
        <v>0</v>
      </c>
      <c r="J28" s="89">
        <f t="shared" si="12"/>
        <v>0</v>
      </c>
      <c r="K28" s="93">
        <f t="shared" si="12"/>
        <v>0</v>
      </c>
      <c r="L28" s="471">
        <f t="shared" si="12"/>
        <v>0</v>
      </c>
      <c r="M28" s="481">
        <f t="shared" si="12"/>
        <v>29.1</v>
      </c>
      <c r="N28" s="491">
        <f t="shared" si="12"/>
        <v>0</v>
      </c>
    </row>
    <row r="29" spans="1:14" ht="12.75">
      <c r="A29" s="63"/>
      <c r="B29" s="63"/>
      <c r="C29" s="59"/>
      <c r="D29" s="1" t="s">
        <v>210</v>
      </c>
      <c r="E29" s="16" t="s">
        <v>211</v>
      </c>
      <c r="F29" s="61">
        <f>F30</f>
        <v>29.1</v>
      </c>
      <c r="G29" s="451">
        <f t="shared" si="12"/>
        <v>0</v>
      </c>
      <c r="H29" s="141">
        <f t="shared" si="12"/>
        <v>0</v>
      </c>
      <c r="I29" s="461">
        <f t="shared" si="12"/>
        <v>0</v>
      </c>
      <c r="J29" s="89">
        <f t="shared" si="12"/>
        <v>0</v>
      </c>
      <c r="K29" s="93">
        <f t="shared" si="12"/>
        <v>0</v>
      </c>
      <c r="L29" s="471">
        <f t="shared" si="12"/>
        <v>0</v>
      </c>
      <c r="M29" s="481">
        <f t="shared" si="12"/>
        <v>29.1</v>
      </c>
      <c r="N29" s="491">
        <f t="shared" si="12"/>
        <v>0</v>
      </c>
    </row>
    <row r="30" spans="1:14" ht="12.75">
      <c r="A30" s="63"/>
      <c r="B30" s="63"/>
      <c r="C30" s="59"/>
      <c r="D30" s="1" t="s">
        <v>8</v>
      </c>
      <c r="E30" s="16" t="s">
        <v>216</v>
      </c>
      <c r="F30" s="61">
        <f t="shared" si="4"/>
        <v>29.1</v>
      </c>
      <c r="G30" s="452"/>
      <c r="H30" s="142"/>
      <c r="I30" s="462"/>
      <c r="J30" s="90"/>
      <c r="K30" s="94"/>
      <c r="L30" s="474"/>
      <c r="M30" s="482">
        <v>29.1</v>
      </c>
      <c r="N30" s="494"/>
    </row>
    <row r="31" spans="1:14" ht="12.75">
      <c r="A31" s="63"/>
      <c r="B31" s="1" t="s">
        <v>34</v>
      </c>
      <c r="C31" s="1"/>
      <c r="D31" s="1"/>
      <c r="E31" s="16" t="s">
        <v>35</v>
      </c>
      <c r="F31" s="61">
        <f t="shared" si="4"/>
        <v>22295.4</v>
      </c>
      <c r="G31" s="452">
        <f>G32</f>
        <v>1197.9</v>
      </c>
      <c r="H31" s="142">
        <f aca="true" t="shared" si="13" ref="H31:N31">H32</f>
        <v>0</v>
      </c>
      <c r="I31" s="462">
        <f t="shared" si="13"/>
        <v>0</v>
      </c>
      <c r="J31" s="90">
        <f t="shared" si="13"/>
        <v>0</v>
      </c>
      <c r="K31" s="94">
        <f t="shared" si="13"/>
        <v>0</v>
      </c>
      <c r="L31" s="474">
        <f t="shared" si="13"/>
        <v>3225</v>
      </c>
      <c r="M31" s="482">
        <f t="shared" si="13"/>
        <v>17872.5</v>
      </c>
      <c r="N31" s="494">
        <f t="shared" si="13"/>
        <v>0</v>
      </c>
    </row>
    <row r="32" spans="1:14" ht="12.75">
      <c r="A32" s="63"/>
      <c r="B32" s="1" t="s">
        <v>4</v>
      </c>
      <c r="C32" s="1"/>
      <c r="D32" s="1"/>
      <c r="E32" s="5" t="s">
        <v>36</v>
      </c>
      <c r="F32" s="61">
        <f>G32+H32+I32+J32+K32+L32+M32+N32</f>
        <v>22295.4</v>
      </c>
      <c r="G32" s="452">
        <f aca="true" t="shared" si="14" ref="G32:N32">G33+G38+G45</f>
        <v>1197.9</v>
      </c>
      <c r="H32" s="142">
        <f t="shared" si="14"/>
        <v>0</v>
      </c>
      <c r="I32" s="462">
        <f t="shared" si="14"/>
        <v>0</v>
      </c>
      <c r="J32" s="90">
        <f t="shared" si="14"/>
        <v>0</v>
      </c>
      <c r="K32" s="94">
        <f t="shared" si="14"/>
        <v>0</v>
      </c>
      <c r="L32" s="474">
        <f t="shared" si="14"/>
        <v>3225</v>
      </c>
      <c r="M32" s="482">
        <f t="shared" si="14"/>
        <v>17872.5</v>
      </c>
      <c r="N32" s="494">
        <f t="shared" si="14"/>
        <v>0</v>
      </c>
    </row>
    <row r="33" spans="1:14" ht="12.75">
      <c r="A33" s="10"/>
      <c r="B33" s="1"/>
      <c r="C33" s="59" t="s">
        <v>281</v>
      </c>
      <c r="D33" s="1"/>
      <c r="E33" s="16" t="s">
        <v>88</v>
      </c>
      <c r="F33" s="61">
        <f aca="true" t="shared" si="15" ref="F33:F61">G33+H33+I33+J33+K33+L33+M33+N33</f>
        <v>1007.2</v>
      </c>
      <c r="G33" s="452">
        <f>G34</f>
        <v>0</v>
      </c>
      <c r="H33" s="142">
        <f aca="true" t="shared" si="16" ref="H33:N36">H34</f>
        <v>0</v>
      </c>
      <c r="I33" s="462">
        <f t="shared" si="16"/>
        <v>0</v>
      </c>
      <c r="J33" s="90">
        <f t="shared" si="16"/>
        <v>0</v>
      </c>
      <c r="K33" s="94">
        <f t="shared" si="16"/>
        <v>0</v>
      </c>
      <c r="L33" s="474">
        <f t="shared" si="16"/>
        <v>0</v>
      </c>
      <c r="M33" s="482">
        <f t="shared" si="16"/>
        <v>0</v>
      </c>
      <c r="N33" s="494">
        <f t="shared" si="16"/>
        <v>1007.2</v>
      </c>
    </row>
    <row r="34" spans="1:14" ht="12.75">
      <c r="A34" s="10"/>
      <c r="B34" s="1"/>
      <c r="C34" s="59" t="s">
        <v>89</v>
      </c>
      <c r="D34" s="1"/>
      <c r="E34" s="16" t="s">
        <v>90</v>
      </c>
      <c r="F34" s="61">
        <f t="shared" si="15"/>
        <v>1007.2</v>
      </c>
      <c r="G34" s="452">
        <f>G35</f>
        <v>0</v>
      </c>
      <c r="H34" s="142">
        <f t="shared" si="16"/>
        <v>0</v>
      </c>
      <c r="I34" s="462">
        <f t="shared" si="16"/>
        <v>0</v>
      </c>
      <c r="J34" s="90">
        <f t="shared" si="16"/>
        <v>0</v>
      </c>
      <c r="K34" s="94">
        <f t="shared" si="16"/>
        <v>0</v>
      </c>
      <c r="L34" s="474">
        <f t="shared" si="16"/>
        <v>0</v>
      </c>
      <c r="M34" s="482">
        <f t="shared" si="16"/>
        <v>0</v>
      </c>
      <c r="N34" s="494">
        <f t="shared" si="16"/>
        <v>1007.2</v>
      </c>
    </row>
    <row r="35" spans="1:14" ht="15" customHeight="1">
      <c r="A35" s="10"/>
      <c r="B35" s="1"/>
      <c r="C35" s="59" t="s">
        <v>282</v>
      </c>
      <c r="D35" s="1"/>
      <c r="E35" s="16" t="s">
        <v>283</v>
      </c>
      <c r="F35" s="61">
        <f t="shared" si="15"/>
        <v>1007.2</v>
      </c>
      <c r="G35" s="452">
        <f>G36</f>
        <v>0</v>
      </c>
      <c r="H35" s="142">
        <f t="shared" si="16"/>
        <v>0</v>
      </c>
      <c r="I35" s="462">
        <f t="shared" si="16"/>
        <v>0</v>
      </c>
      <c r="J35" s="90">
        <f t="shared" si="16"/>
        <v>0</v>
      </c>
      <c r="K35" s="94">
        <f t="shared" si="16"/>
        <v>0</v>
      </c>
      <c r="L35" s="474">
        <f t="shared" si="16"/>
        <v>0</v>
      </c>
      <c r="M35" s="482">
        <f t="shared" si="16"/>
        <v>0</v>
      </c>
      <c r="N35" s="494">
        <f t="shared" si="16"/>
        <v>1007.2</v>
      </c>
    </row>
    <row r="36" spans="1:14" ht="12.75">
      <c r="A36" s="10"/>
      <c r="B36" s="1"/>
      <c r="C36" s="59"/>
      <c r="D36" s="1" t="s">
        <v>210</v>
      </c>
      <c r="E36" s="16" t="s">
        <v>211</v>
      </c>
      <c r="F36" s="61">
        <f t="shared" si="15"/>
        <v>1007.2</v>
      </c>
      <c r="G36" s="452">
        <f>G37</f>
        <v>0</v>
      </c>
      <c r="H36" s="142">
        <f t="shared" si="16"/>
        <v>0</v>
      </c>
      <c r="I36" s="462">
        <f t="shared" si="16"/>
        <v>0</v>
      </c>
      <c r="J36" s="90">
        <f t="shared" si="16"/>
        <v>0</v>
      </c>
      <c r="K36" s="94">
        <f t="shared" si="16"/>
        <v>0</v>
      </c>
      <c r="L36" s="474">
        <f t="shared" si="16"/>
        <v>0</v>
      </c>
      <c r="M36" s="482">
        <f t="shared" si="16"/>
        <v>0</v>
      </c>
      <c r="N36" s="494">
        <f t="shared" si="16"/>
        <v>1007.2</v>
      </c>
    </row>
    <row r="37" spans="1:14" ht="12.75">
      <c r="A37" s="10"/>
      <c r="B37" s="1"/>
      <c r="C37" s="59"/>
      <c r="D37" s="1" t="s">
        <v>8</v>
      </c>
      <c r="E37" s="16" t="s">
        <v>216</v>
      </c>
      <c r="F37" s="61">
        <f t="shared" si="15"/>
        <v>1007.2</v>
      </c>
      <c r="G37" s="452"/>
      <c r="H37" s="142"/>
      <c r="I37" s="462"/>
      <c r="J37" s="90"/>
      <c r="K37" s="94"/>
      <c r="L37" s="474"/>
      <c r="M37" s="482"/>
      <c r="N37" s="494">
        <v>1007.2</v>
      </c>
    </row>
    <row r="38" spans="1:14" ht="12.75">
      <c r="A38" s="10"/>
      <c r="B38" s="1"/>
      <c r="C38" s="59" t="s">
        <v>91</v>
      </c>
      <c r="D38" s="1"/>
      <c r="E38" s="16" t="s">
        <v>92</v>
      </c>
      <c r="F38" s="61">
        <f t="shared" si="15"/>
        <v>190.70000000000005</v>
      </c>
      <c r="G38" s="452">
        <f>G42+G39</f>
        <v>1197.9</v>
      </c>
      <c r="H38" s="142">
        <f aca="true" t="shared" si="17" ref="H38:M38">H42+H39</f>
        <v>0</v>
      </c>
      <c r="I38" s="462">
        <f t="shared" si="17"/>
        <v>0</v>
      </c>
      <c r="J38" s="90">
        <f t="shared" si="17"/>
        <v>0</v>
      </c>
      <c r="K38" s="94">
        <f t="shared" si="17"/>
        <v>0</v>
      </c>
      <c r="L38" s="474">
        <f t="shared" si="17"/>
        <v>0</v>
      </c>
      <c r="M38" s="482">
        <f t="shared" si="17"/>
        <v>0</v>
      </c>
      <c r="N38" s="494">
        <f>N42+N39</f>
        <v>-1007.2</v>
      </c>
    </row>
    <row r="39" spans="1:14" ht="12.75">
      <c r="A39" s="10"/>
      <c r="B39" s="1"/>
      <c r="C39" s="59" t="s">
        <v>93</v>
      </c>
      <c r="D39" s="1"/>
      <c r="E39" s="16" t="s">
        <v>94</v>
      </c>
      <c r="F39" s="61">
        <f t="shared" si="15"/>
        <v>-1007.2</v>
      </c>
      <c r="G39" s="452">
        <f>G40</f>
        <v>0</v>
      </c>
      <c r="H39" s="142">
        <f aca="true" t="shared" si="18" ref="H39:N40">H40</f>
        <v>0</v>
      </c>
      <c r="I39" s="462">
        <f t="shared" si="18"/>
        <v>0</v>
      </c>
      <c r="J39" s="90">
        <f t="shared" si="18"/>
        <v>0</v>
      </c>
      <c r="K39" s="94">
        <f t="shared" si="18"/>
        <v>0</v>
      </c>
      <c r="L39" s="474">
        <f t="shared" si="18"/>
        <v>0</v>
      </c>
      <c r="M39" s="482">
        <f t="shared" si="18"/>
        <v>0</v>
      </c>
      <c r="N39" s="494">
        <f t="shared" si="18"/>
        <v>-1007.2</v>
      </c>
    </row>
    <row r="40" spans="1:14" ht="12.75">
      <c r="A40" s="10"/>
      <c r="B40" s="1"/>
      <c r="C40" s="59"/>
      <c r="D40" s="1" t="s">
        <v>210</v>
      </c>
      <c r="E40" s="16" t="s">
        <v>211</v>
      </c>
      <c r="F40" s="61">
        <f t="shared" si="15"/>
        <v>-1007.2</v>
      </c>
      <c r="G40" s="452">
        <f>G41</f>
        <v>0</v>
      </c>
      <c r="H40" s="142">
        <f t="shared" si="18"/>
        <v>0</v>
      </c>
      <c r="I40" s="462">
        <f t="shared" si="18"/>
        <v>0</v>
      </c>
      <c r="J40" s="90">
        <f t="shared" si="18"/>
        <v>0</v>
      </c>
      <c r="K40" s="94">
        <f t="shared" si="18"/>
        <v>0</v>
      </c>
      <c r="L40" s="474">
        <f t="shared" si="18"/>
        <v>0</v>
      </c>
      <c r="M40" s="482">
        <f t="shared" si="18"/>
        <v>0</v>
      </c>
      <c r="N40" s="494">
        <f t="shared" si="18"/>
        <v>-1007.2</v>
      </c>
    </row>
    <row r="41" spans="1:14" ht="12.75">
      <c r="A41" s="10"/>
      <c r="B41" s="1"/>
      <c r="C41" s="59"/>
      <c r="D41" s="1" t="s">
        <v>8</v>
      </c>
      <c r="E41" s="16" t="s">
        <v>216</v>
      </c>
      <c r="F41" s="61">
        <f t="shared" si="15"/>
        <v>-1007.2</v>
      </c>
      <c r="G41" s="452"/>
      <c r="H41" s="142"/>
      <c r="I41" s="462"/>
      <c r="J41" s="90"/>
      <c r="K41" s="94"/>
      <c r="L41" s="474"/>
      <c r="M41" s="482"/>
      <c r="N41" s="494">
        <v>-1007.2</v>
      </c>
    </row>
    <row r="42" spans="1:14" ht="39.75" customHeight="1">
      <c r="A42" s="10"/>
      <c r="B42" s="1"/>
      <c r="C42" s="59" t="s">
        <v>279</v>
      </c>
      <c r="D42" s="1"/>
      <c r="E42" s="16" t="s">
        <v>280</v>
      </c>
      <c r="F42" s="61">
        <f t="shared" si="15"/>
        <v>1197.9</v>
      </c>
      <c r="G42" s="452">
        <f>G43</f>
        <v>1197.9</v>
      </c>
      <c r="H42" s="142">
        <f aca="true" t="shared" si="19" ref="H42:N43">H43</f>
        <v>0</v>
      </c>
      <c r="I42" s="462">
        <f t="shared" si="19"/>
        <v>0</v>
      </c>
      <c r="J42" s="90">
        <f t="shared" si="19"/>
        <v>0</v>
      </c>
      <c r="K42" s="94">
        <f t="shared" si="19"/>
        <v>0</v>
      </c>
      <c r="L42" s="474">
        <f t="shared" si="19"/>
        <v>0</v>
      </c>
      <c r="M42" s="482">
        <f t="shared" si="19"/>
        <v>0</v>
      </c>
      <c r="N42" s="494">
        <f t="shared" si="19"/>
        <v>0</v>
      </c>
    </row>
    <row r="43" spans="1:14" ht="12.75">
      <c r="A43" s="10"/>
      <c r="B43" s="1"/>
      <c r="C43" s="59"/>
      <c r="D43" s="1" t="s">
        <v>210</v>
      </c>
      <c r="E43" s="16" t="s">
        <v>211</v>
      </c>
      <c r="F43" s="61">
        <f t="shared" si="15"/>
        <v>1197.9</v>
      </c>
      <c r="G43" s="452">
        <f>G44</f>
        <v>1197.9</v>
      </c>
      <c r="H43" s="142">
        <f t="shared" si="19"/>
        <v>0</v>
      </c>
      <c r="I43" s="462">
        <f t="shared" si="19"/>
        <v>0</v>
      </c>
      <c r="J43" s="90">
        <f t="shared" si="19"/>
        <v>0</v>
      </c>
      <c r="K43" s="94">
        <f t="shared" si="19"/>
        <v>0</v>
      </c>
      <c r="L43" s="474">
        <f t="shared" si="19"/>
        <v>0</v>
      </c>
      <c r="M43" s="482">
        <f t="shared" si="19"/>
        <v>0</v>
      </c>
      <c r="N43" s="494">
        <f t="shared" si="19"/>
        <v>0</v>
      </c>
    </row>
    <row r="44" spans="1:14" ht="12.75">
      <c r="A44" s="10"/>
      <c r="B44" s="1"/>
      <c r="C44" s="59"/>
      <c r="D44" s="1" t="s">
        <v>8</v>
      </c>
      <c r="E44" s="16" t="s">
        <v>216</v>
      </c>
      <c r="F44" s="61">
        <f t="shared" si="15"/>
        <v>1197.9</v>
      </c>
      <c r="G44" s="452">
        <v>1197.9</v>
      </c>
      <c r="H44" s="142"/>
      <c r="I44" s="462"/>
      <c r="J44" s="90"/>
      <c r="K44" s="94"/>
      <c r="L44" s="474"/>
      <c r="M44" s="482"/>
      <c r="N44" s="494"/>
    </row>
    <row r="45" spans="1:14" ht="12.75">
      <c r="A45" s="63"/>
      <c r="B45" s="63"/>
      <c r="C45" s="59" t="s">
        <v>37</v>
      </c>
      <c r="D45" s="1"/>
      <c r="E45" s="16" t="s">
        <v>213</v>
      </c>
      <c r="F45" s="61">
        <f t="shared" si="15"/>
        <v>21097.5</v>
      </c>
      <c r="G45" s="452">
        <f>G46+G62</f>
        <v>0</v>
      </c>
      <c r="H45" s="142">
        <f aca="true" t="shared" si="20" ref="H45:N45">H46+H62</f>
        <v>0</v>
      </c>
      <c r="I45" s="462">
        <f t="shared" si="20"/>
        <v>0</v>
      </c>
      <c r="J45" s="90">
        <f t="shared" si="20"/>
        <v>0</v>
      </c>
      <c r="K45" s="94">
        <f t="shared" si="20"/>
        <v>0</v>
      </c>
      <c r="L45" s="474">
        <f t="shared" si="20"/>
        <v>3225</v>
      </c>
      <c r="M45" s="482">
        <f>M46+M62</f>
        <v>17872.5</v>
      </c>
      <c r="N45" s="494">
        <f t="shared" si="20"/>
        <v>0</v>
      </c>
    </row>
    <row r="46" spans="1:14" ht="25.5">
      <c r="A46" s="63"/>
      <c r="B46" s="63"/>
      <c r="C46" s="59" t="s">
        <v>209</v>
      </c>
      <c r="D46" s="1"/>
      <c r="E46" s="16" t="s">
        <v>3</v>
      </c>
      <c r="F46" s="61">
        <f t="shared" si="15"/>
        <v>14006</v>
      </c>
      <c r="G46" s="452">
        <f>G47</f>
        <v>0</v>
      </c>
      <c r="H46" s="142">
        <f aca="true" t="shared" si="21" ref="H46:N48">H47</f>
        <v>0</v>
      </c>
      <c r="I46" s="462">
        <f t="shared" si="21"/>
        <v>0</v>
      </c>
      <c r="J46" s="90">
        <f t="shared" si="21"/>
        <v>0</v>
      </c>
      <c r="K46" s="94">
        <f t="shared" si="21"/>
        <v>0</v>
      </c>
      <c r="L46" s="474">
        <f t="shared" si="21"/>
        <v>3225</v>
      </c>
      <c r="M46" s="482">
        <f t="shared" si="21"/>
        <v>10781</v>
      </c>
      <c r="N46" s="494">
        <f t="shared" si="21"/>
        <v>0</v>
      </c>
    </row>
    <row r="47" spans="1:14" ht="25.5">
      <c r="A47" s="63"/>
      <c r="B47" s="63"/>
      <c r="C47" s="59" t="s">
        <v>176</v>
      </c>
      <c r="D47" s="1"/>
      <c r="E47" s="2" t="s">
        <v>147</v>
      </c>
      <c r="F47" s="61">
        <f t="shared" si="15"/>
        <v>14006</v>
      </c>
      <c r="G47" s="452">
        <f>G48</f>
        <v>0</v>
      </c>
      <c r="H47" s="142">
        <f t="shared" si="21"/>
        <v>0</v>
      </c>
      <c r="I47" s="462">
        <f t="shared" si="21"/>
        <v>0</v>
      </c>
      <c r="J47" s="90">
        <f t="shared" si="21"/>
        <v>0</v>
      </c>
      <c r="K47" s="94">
        <f t="shared" si="21"/>
        <v>0</v>
      </c>
      <c r="L47" s="474">
        <f t="shared" si="21"/>
        <v>3225</v>
      </c>
      <c r="M47" s="482">
        <f t="shared" si="21"/>
        <v>10781</v>
      </c>
      <c r="N47" s="494">
        <f t="shared" si="21"/>
        <v>0</v>
      </c>
    </row>
    <row r="48" spans="1:14" ht="12.75">
      <c r="A48" s="63"/>
      <c r="B48" s="63"/>
      <c r="C48" s="59"/>
      <c r="D48" s="1" t="s">
        <v>210</v>
      </c>
      <c r="E48" s="2" t="s">
        <v>211</v>
      </c>
      <c r="F48" s="61">
        <f t="shared" si="15"/>
        <v>14006</v>
      </c>
      <c r="G48" s="452">
        <f>G49</f>
        <v>0</v>
      </c>
      <c r="H48" s="142">
        <f t="shared" si="21"/>
        <v>0</v>
      </c>
      <c r="I48" s="462">
        <f t="shared" si="21"/>
        <v>0</v>
      </c>
      <c r="J48" s="90">
        <f t="shared" si="21"/>
        <v>0</v>
      </c>
      <c r="K48" s="94">
        <f t="shared" si="21"/>
        <v>0</v>
      </c>
      <c r="L48" s="474">
        <f t="shared" si="21"/>
        <v>3225</v>
      </c>
      <c r="M48" s="482">
        <f t="shared" si="21"/>
        <v>10781</v>
      </c>
      <c r="N48" s="494">
        <f t="shared" si="21"/>
        <v>0</v>
      </c>
    </row>
    <row r="49" spans="1:14" ht="12.75">
      <c r="A49" s="63"/>
      <c r="B49" s="63"/>
      <c r="C49" s="59"/>
      <c r="D49" s="1" t="s">
        <v>8</v>
      </c>
      <c r="E49" s="2" t="s">
        <v>977</v>
      </c>
      <c r="F49" s="61">
        <f t="shared" si="15"/>
        <v>14006</v>
      </c>
      <c r="G49" s="452">
        <f>G50+G51+G52+G53+G54+G55+G56+G57+G58+G59+G60+G61</f>
        <v>0</v>
      </c>
      <c r="H49" s="142">
        <f aca="true" t="shared" si="22" ref="H49:N49">H50+H51+H52+H53+H54+H55+H56+H57+H58+H59+H60+H61</f>
        <v>0</v>
      </c>
      <c r="I49" s="462">
        <f t="shared" si="22"/>
        <v>0</v>
      </c>
      <c r="J49" s="90">
        <f t="shared" si="22"/>
        <v>0</v>
      </c>
      <c r="K49" s="94">
        <f t="shared" si="22"/>
        <v>0</v>
      </c>
      <c r="L49" s="474">
        <f t="shared" si="22"/>
        <v>3225</v>
      </c>
      <c r="M49" s="482">
        <f t="shared" si="22"/>
        <v>10781</v>
      </c>
      <c r="N49" s="494">
        <f t="shared" si="22"/>
        <v>0</v>
      </c>
    </row>
    <row r="50" spans="1:14" ht="38.25">
      <c r="A50" s="63"/>
      <c r="B50" s="63"/>
      <c r="C50" s="59"/>
      <c r="D50" s="1"/>
      <c r="E50" s="16" t="s">
        <v>148</v>
      </c>
      <c r="F50" s="61">
        <f t="shared" si="15"/>
        <v>550</v>
      </c>
      <c r="G50" s="452"/>
      <c r="H50" s="142"/>
      <c r="I50" s="462"/>
      <c r="J50" s="90"/>
      <c r="K50" s="94"/>
      <c r="L50" s="474"/>
      <c r="M50" s="482">
        <v>550</v>
      </c>
      <c r="N50" s="494"/>
    </row>
    <row r="51" spans="1:14" ht="38.25">
      <c r="A51" s="63"/>
      <c r="B51" s="63"/>
      <c r="C51" s="59"/>
      <c r="D51" s="1"/>
      <c r="E51" s="16" t="s">
        <v>149</v>
      </c>
      <c r="F51" s="61">
        <f t="shared" si="15"/>
        <v>550</v>
      </c>
      <c r="G51" s="452"/>
      <c r="H51" s="142"/>
      <c r="I51" s="462"/>
      <c r="J51" s="90"/>
      <c r="K51" s="94"/>
      <c r="L51" s="474"/>
      <c r="M51" s="482">
        <v>550</v>
      </c>
      <c r="N51" s="494"/>
    </row>
    <row r="52" spans="1:14" ht="38.25">
      <c r="A52" s="63"/>
      <c r="B52" s="63"/>
      <c r="C52" s="59"/>
      <c r="D52" s="1"/>
      <c r="E52" s="57" t="s">
        <v>152</v>
      </c>
      <c r="F52" s="61">
        <f t="shared" si="15"/>
        <v>600</v>
      </c>
      <c r="G52" s="452"/>
      <c r="H52" s="142"/>
      <c r="I52" s="462"/>
      <c r="J52" s="90"/>
      <c r="K52" s="94"/>
      <c r="L52" s="474"/>
      <c r="M52" s="482">
        <v>600</v>
      </c>
      <c r="N52" s="494"/>
    </row>
    <row r="53" spans="1:14" ht="51">
      <c r="A53" s="63"/>
      <c r="B53" s="63"/>
      <c r="C53" s="59"/>
      <c r="D53" s="1"/>
      <c r="E53" s="57" t="s">
        <v>272</v>
      </c>
      <c r="F53" s="61">
        <f t="shared" si="15"/>
        <v>2231</v>
      </c>
      <c r="G53" s="452"/>
      <c r="H53" s="142"/>
      <c r="I53" s="462"/>
      <c r="J53" s="90"/>
      <c r="K53" s="94"/>
      <c r="L53" s="474"/>
      <c r="M53" s="482">
        <v>2231</v>
      </c>
      <c r="N53" s="494"/>
    </row>
    <row r="54" spans="1:14" ht="38.25">
      <c r="A54" s="63"/>
      <c r="B54" s="63"/>
      <c r="C54" s="59"/>
      <c r="D54" s="1"/>
      <c r="E54" s="57" t="s">
        <v>157</v>
      </c>
      <c r="F54" s="61">
        <f t="shared" si="15"/>
        <v>1100</v>
      </c>
      <c r="G54" s="452"/>
      <c r="H54" s="142"/>
      <c r="I54" s="462"/>
      <c r="J54" s="90"/>
      <c r="K54" s="94"/>
      <c r="L54" s="474"/>
      <c r="M54" s="482">
        <v>1100</v>
      </c>
      <c r="N54" s="494"/>
    </row>
    <row r="55" spans="1:14" ht="38.25">
      <c r="A55" s="63"/>
      <c r="B55" s="63"/>
      <c r="C55" s="59"/>
      <c r="D55" s="1"/>
      <c r="E55" s="57" t="s">
        <v>155</v>
      </c>
      <c r="F55" s="61">
        <f t="shared" si="15"/>
        <v>825</v>
      </c>
      <c r="G55" s="452"/>
      <c r="H55" s="142"/>
      <c r="I55" s="462"/>
      <c r="J55" s="90"/>
      <c r="K55" s="94"/>
      <c r="L55" s="474"/>
      <c r="M55" s="482">
        <v>825</v>
      </c>
      <c r="N55" s="494"/>
    </row>
    <row r="56" spans="1:14" ht="38.25">
      <c r="A56" s="63"/>
      <c r="B56" s="63"/>
      <c r="C56" s="59"/>
      <c r="D56" s="1"/>
      <c r="E56" s="16" t="s">
        <v>156</v>
      </c>
      <c r="F56" s="61">
        <f t="shared" si="15"/>
        <v>550</v>
      </c>
      <c r="G56" s="452"/>
      <c r="H56" s="142"/>
      <c r="I56" s="462"/>
      <c r="J56" s="90"/>
      <c r="K56" s="94"/>
      <c r="L56" s="474"/>
      <c r="M56" s="482">
        <v>550</v>
      </c>
      <c r="N56" s="494"/>
    </row>
    <row r="57" spans="1:14" ht="38.25">
      <c r="A57" s="63"/>
      <c r="B57" s="63"/>
      <c r="C57" s="59"/>
      <c r="D57" s="1"/>
      <c r="E57" s="16" t="s">
        <v>162</v>
      </c>
      <c r="F57" s="61">
        <f t="shared" si="15"/>
        <v>1700</v>
      </c>
      <c r="G57" s="452"/>
      <c r="H57" s="142"/>
      <c r="I57" s="462"/>
      <c r="J57" s="90"/>
      <c r="K57" s="94"/>
      <c r="L57" s="474"/>
      <c r="M57" s="482">
        <v>1700</v>
      </c>
      <c r="N57" s="494"/>
    </row>
    <row r="58" spans="1:14" ht="38.25">
      <c r="A58" s="63"/>
      <c r="B58" s="63"/>
      <c r="C58" s="59"/>
      <c r="D58" s="1"/>
      <c r="E58" s="2" t="s">
        <v>151</v>
      </c>
      <c r="F58" s="61">
        <f t="shared" si="15"/>
        <v>1575</v>
      </c>
      <c r="G58" s="452"/>
      <c r="H58" s="142"/>
      <c r="I58" s="462"/>
      <c r="J58" s="90"/>
      <c r="K58" s="94"/>
      <c r="L58" s="474"/>
      <c r="M58" s="482">
        <v>1575</v>
      </c>
      <c r="N58" s="494"/>
    </row>
    <row r="59" spans="1:14" ht="38.25">
      <c r="A59" s="63"/>
      <c r="B59" s="63"/>
      <c r="C59" s="59"/>
      <c r="D59" s="1"/>
      <c r="E59" s="2" t="s">
        <v>153</v>
      </c>
      <c r="F59" s="61">
        <f t="shared" si="15"/>
        <v>1100</v>
      </c>
      <c r="G59" s="452"/>
      <c r="H59" s="142"/>
      <c r="I59" s="462"/>
      <c r="J59" s="90"/>
      <c r="K59" s="94"/>
      <c r="L59" s="474"/>
      <c r="M59" s="482">
        <v>1100</v>
      </c>
      <c r="N59" s="494"/>
    </row>
    <row r="60" spans="1:14" ht="38.25">
      <c r="A60" s="63"/>
      <c r="B60" s="63"/>
      <c r="C60" s="59"/>
      <c r="D60" s="1"/>
      <c r="E60" s="2" t="s">
        <v>150</v>
      </c>
      <c r="F60" s="61">
        <f t="shared" si="15"/>
        <v>1875</v>
      </c>
      <c r="G60" s="452"/>
      <c r="H60" s="142"/>
      <c r="I60" s="462"/>
      <c r="J60" s="90"/>
      <c r="K60" s="94"/>
      <c r="L60" s="474">
        <v>1875</v>
      </c>
      <c r="M60" s="482"/>
      <c r="N60" s="494"/>
    </row>
    <row r="61" spans="1:14" ht="38.25">
      <c r="A61" s="63"/>
      <c r="B61" s="63"/>
      <c r="C61" s="59"/>
      <c r="D61" s="1"/>
      <c r="E61" s="2" t="s">
        <v>154</v>
      </c>
      <c r="F61" s="61">
        <f t="shared" si="15"/>
        <v>1350</v>
      </c>
      <c r="G61" s="452"/>
      <c r="H61" s="142"/>
      <c r="I61" s="462"/>
      <c r="J61" s="90"/>
      <c r="K61" s="94"/>
      <c r="L61" s="474">
        <v>1350</v>
      </c>
      <c r="M61" s="482"/>
      <c r="N61" s="494"/>
    </row>
    <row r="62" spans="1:14" ht="25.5">
      <c r="A62" s="63"/>
      <c r="B62" s="63"/>
      <c r="C62" s="59" t="s">
        <v>39</v>
      </c>
      <c r="D62" s="1"/>
      <c r="E62" s="16" t="s">
        <v>40</v>
      </c>
      <c r="F62" s="61">
        <f>F63+F66+F69+F72+F75+F78+F81+F84</f>
        <v>7091.5</v>
      </c>
      <c r="G62" s="451">
        <f aca="true" t="shared" si="23" ref="G62:N62">G63+G66+G69+G72+G75+G78+G81+G84</f>
        <v>0</v>
      </c>
      <c r="H62" s="141">
        <f t="shared" si="23"/>
        <v>0</v>
      </c>
      <c r="I62" s="461">
        <f t="shared" si="23"/>
        <v>0</v>
      </c>
      <c r="J62" s="89">
        <f t="shared" si="23"/>
        <v>0</v>
      </c>
      <c r="K62" s="93">
        <f t="shared" si="23"/>
        <v>0</v>
      </c>
      <c r="L62" s="471">
        <f t="shared" si="23"/>
        <v>0</v>
      </c>
      <c r="M62" s="481">
        <f t="shared" si="23"/>
        <v>7091.5</v>
      </c>
      <c r="N62" s="491">
        <f t="shared" si="23"/>
        <v>0</v>
      </c>
    </row>
    <row r="63" spans="1:14" ht="12.75">
      <c r="A63" s="63"/>
      <c r="B63" s="63"/>
      <c r="C63" s="59" t="s">
        <v>249</v>
      </c>
      <c r="D63" s="1"/>
      <c r="E63" s="16" t="s">
        <v>158</v>
      </c>
      <c r="F63" s="61">
        <f aca="true" t="shared" si="24" ref="F63:F74">G63+H63+I63+J63+K63+L63+M63+N63</f>
        <v>1801</v>
      </c>
      <c r="G63" s="452">
        <f>G64</f>
        <v>0</v>
      </c>
      <c r="H63" s="142">
        <f aca="true" t="shared" si="25" ref="H63:N64">H64</f>
        <v>0</v>
      </c>
      <c r="I63" s="462">
        <f t="shared" si="25"/>
        <v>0</v>
      </c>
      <c r="J63" s="90">
        <f t="shared" si="25"/>
        <v>0</v>
      </c>
      <c r="K63" s="94">
        <f t="shared" si="25"/>
        <v>0</v>
      </c>
      <c r="L63" s="474">
        <f t="shared" si="25"/>
        <v>0</v>
      </c>
      <c r="M63" s="482">
        <f t="shared" si="25"/>
        <v>1801</v>
      </c>
      <c r="N63" s="494">
        <f t="shared" si="25"/>
        <v>0</v>
      </c>
    </row>
    <row r="64" spans="1:14" ht="12.75">
      <c r="A64" s="63"/>
      <c r="B64" s="63"/>
      <c r="C64" s="59"/>
      <c r="D64" s="1" t="s">
        <v>210</v>
      </c>
      <c r="E64" s="16" t="s">
        <v>211</v>
      </c>
      <c r="F64" s="61">
        <f t="shared" si="24"/>
        <v>1801</v>
      </c>
      <c r="G64" s="452">
        <f>G65</f>
        <v>0</v>
      </c>
      <c r="H64" s="142">
        <f t="shared" si="25"/>
        <v>0</v>
      </c>
      <c r="I64" s="462">
        <f t="shared" si="25"/>
        <v>0</v>
      </c>
      <c r="J64" s="90">
        <f t="shared" si="25"/>
        <v>0</v>
      </c>
      <c r="K64" s="94">
        <f t="shared" si="25"/>
        <v>0</v>
      </c>
      <c r="L64" s="474">
        <f t="shared" si="25"/>
        <v>0</v>
      </c>
      <c r="M64" s="482">
        <f t="shared" si="25"/>
        <v>1801</v>
      </c>
      <c r="N64" s="494">
        <f t="shared" si="25"/>
        <v>0</v>
      </c>
    </row>
    <row r="65" spans="1:14" ht="12.75">
      <c r="A65" s="63"/>
      <c r="B65" s="63"/>
      <c r="C65" s="59"/>
      <c r="D65" s="1" t="s">
        <v>8</v>
      </c>
      <c r="E65" s="16" t="s">
        <v>216</v>
      </c>
      <c r="F65" s="61">
        <f t="shared" si="24"/>
        <v>1801</v>
      </c>
      <c r="G65" s="452"/>
      <c r="H65" s="142"/>
      <c r="I65" s="462"/>
      <c r="J65" s="90"/>
      <c r="K65" s="94"/>
      <c r="L65" s="474"/>
      <c r="M65" s="482">
        <v>1801</v>
      </c>
      <c r="N65" s="494"/>
    </row>
    <row r="66" spans="1:14" ht="12.75">
      <c r="A66" s="63"/>
      <c r="B66" s="63"/>
      <c r="C66" s="59" t="s">
        <v>96</v>
      </c>
      <c r="D66" s="1"/>
      <c r="E66" s="16" t="s">
        <v>97</v>
      </c>
      <c r="F66" s="61">
        <f t="shared" si="24"/>
        <v>321.2</v>
      </c>
      <c r="G66" s="452">
        <f>G67</f>
        <v>0</v>
      </c>
      <c r="H66" s="142">
        <f aca="true" t="shared" si="26" ref="H66:N67">H67</f>
        <v>0</v>
      </c>
      <c r="I66" s="462">
        <f t="shared" si="26"/>
        <v>0</v>
      </c>
      <c r="J66" s="90">
        <f t="shared" si="26"/>
        <v>0</v>
      </c>
      <c r="K66" s="94">
        <f t="shared" si="26"/>
        <v>0</v>
      </c>
      <c r="L66" s="474">
        <f t="shared" si="26"/>
        <v>0</v>
      </c>
      <c r="M66" s="482">
        <f t="shared" si="26"/>
        <v>321.2</v>
      </c>
      <c r="N66" s="494">
        <f t="shared" si="26"/>
        <v>0</v>
      </c>
    </row>
    <row r="67" spans="1:14" ht="12.75">
      <c r="A67" s="63"/>
      <c r="B67" s="63"/>
      <c r="C67" s="59"/>
      <c r="D67" s="1" t="s">
        <v>210</v>
      </c>
      <c r="E67" s="16" t="s">
        <v>211</v>
      </c>
      <c r="F67" s="61">
        <f t="shared" si="24"/>
        <v>321.2</v>
      </c>
      <c r="G67" s="452">
        <f>G68</f>
        <v>0</v>
      </c>
      <c r="H67" s="142">
        <f t="shared" si="26"/>
        <v>0</v>
      </c>
      <c r="I67" s="462">
        <f t="shared" si="26"/>
        <v>0</v>
      </c>
      <c r="J67" s="90">
        <f t="shared" si="26"/>
        <v>0</v>
      </c>
      <c r="K67" s="94">
        <f t="shared" si="26"/>
        <v>0</v>
      </c>
      <c r="L67" s="474">
        <f t="shared" si="26"/>
        <v>0</v>
      </c>
      <c r="M67" s="482">
        <f t="shared" si="26"/>
        <v>321.2</v>
      </c>
      <c r="N67" s="494">
        <f t="shared" si="26"/>
        <v>0</v>
      </c>
    </row>
    <row r="68" spans="1:14" ht="12.75">
      <c r="A68" s="63"/>
      <c r="B68" s="63"/>
      <c r="C68" s="59"/>
      <c r="D68" s="1" t="s">
        <v>8</v>
      </c>
      <c r="E68" s="16" t="s">
        <v>216</v>
      </c>
      <c r="F68" s="61">
        <f t="shared" si="24"/>
        <v>321.2</v>
      </c>
      <c r="G68" s="452"/>
      <c r="H68" s="142"/>
      <c r="I68" s="462"/>
      <c r="J68" s="90"/>
      <c r="K68" s="94"/>
      <c r="L68" s="474"/>
      <c r="M68" s="482">
        <v>321.2</v>
      </c>
      <c r="N68" s="494"/>
    </row>
    <row r="69" spans="1:14" ht="51">
      <c r="A69" s="63"/>
      <c r="B69" s="63"/>
      <c r="C69" s="59" t="s">
        <v>275</v>
      </c>
      <c r="D69" s="1"/>
      <c r="E69" s="16" t="s">
        <v>159</v>
      </c>
      <c r="F69" s="61">
        <f t="shared" si="24"/>
        <v>2082.5</v>
      </c>
      <c r="G69" s="452">
        <f>G70</f>
        <v>0</v>
      </c>
      <c r="H69" s="142">
        <f aca="true" t="shared" si="27" ref="H69:N70">H70</f>
        <v>0</v>
      </c>
      <c r="I69" s="462">
        <f t="shared" si="27"/>
        <v>0</v>
      </c>
      <c r="J69" s="90">
        <f t="shared" si="27"/>
        <v>0</v>
      </c>
      <c r="K69" s="94">
        <f t="shared" si="27"/>
        <v>0</v>
      </c>
      <c r="L69" s="474">
        <f t="shared" si="27"/>
        <v>0</v>
      </c>
      <c r="M69" s="482">
        <f t="shared" si="27"/>
        <v>2082.5</v>
      </c>
      <c r="N69" s="494">
        <f t="shared" si="27"/>
        <v>0</v>
      </c>
    </row>
    <row r="70" spans="1:14" ht="12.75">
      <c r="A70" s="63"/>
      <c r="B70" s="63"/>
      <c r="C70" s="59"/>
      <c r="D70" s="1" t="s">
        <v>210</v>
      </c>
      <c r="E70" s="16" t="s">
        <v>211</v>
      </c>
      <c r="F70" s="61">
        <f t="shared" si="24"/>
        <v>2082.5</v>
      </c>
      <c r="G70" s="452">
        <f>G71</f>
        <v>0</v>
      </c>
      <c r="H70" s="142">
        <f t="shared" si="27"/>
        <v>0</v>
      </c>
      <c r="I70" s="462">
        <f t="shared" si="27"/>
        <v>0</v>
      </c>
      <c r="J70" s="90">
        <f t="shared" si="27"/>
        <v>0</v>
      </c>
      <c r="K70" s="94">
        <f t="shared" si="27"/>
        <v>0</v>
      </c>
      <c r="L70" s="474">
        <f t="shared" si="27"/>
        <v>0</v>
      </c>
      <c r="M70" s="482">
        <f t="shared" si="27"/>
        <v>2082.5</v>
      </c>
      <c r="N70" s="494">
        <f t="shared" si="27"/>
        <v>0</v>
      </c>
    </row>
    <row r="71" spans="1:14" ht="12.75">
      <c r="A71" s="63"/>
      <c r="B71" s="63"/>
      <c r="C71" s="59"/>
      <c r="D71" s="1" t="s">
        <v>8</v>
      </c>
      <c r="E71" s="16" t="s">
        <v>216</v>
      </c>
      <c r="F71" s="61">
        <f t="shared" si="24"/>
        <v>2082.5</v>
      </c>
      <c r="G71" s="452"/>
      <c r="H71" s="142"/>
      <c r="I71" s="462"/>
      <c r="J71" s="90"/>
      <c r="K71" s="94"/>
      <c r="L71" s="474"/>
      <c r="M71" s="482">
        <v>2082.5</v>
      </c>
      <c r="N71" s="494"/>
    </row>
    <row r="72" spans="1:14" ht="38.25">
      <c r="A72" s="63"/>
      <c r="B72" s="63"/>
      <c r="C72" s="59" t="s">
        <v>274</v>
      </c>
      <c r="D72" s="1"/>
      <c r="E72" s="16" t="s">
        <v>160</v>
      </c>
      <c r="F72" s="61">
        <f t="shared" si="24"/>
        <v>550</v>
      </c>
      <c r="G72" s="452">
        <f>G73</f>
        <v>0</v>
      </c>
      <c r="H72" s="142">
        <f aca="true" t="shared" si="28" ref="H72:N73">H73</f>
        <v>0</v>
      </c>
      <c r="I72" s="462">
        <f t="shared" si="28"/>
        <v>0</v>
      </c>
      <c r="J72" s="90">
        <f t="shared" si="28"/>
        <v>0</v>
      </c>
      <c r="K72" s="94">
        <f t="shared" si="28"/>
        <v>0</v>
      </c>
      <c r="L72" s="474">
        <f t="shared" si="28"/>
        <v>0</v>
      </c>
      <c r="M72" s="482">
        <f t="shared" si="28"/>
        <v>550</v>
      </c>
      <c r="N72" s="494">
        <f t="shared" si="28"/>
        <v>0</v>
      </c>
    </row>
    <row r="73" spans="1:14" ht="12.75">
      <c r="A73" s="63"/>
      <c r="B73" s="63"/>
      <c r="C73" s="59"/>
      <c r="D73" s="1" t="s">
        <v>210</v>
      </c>
      <c r="E73" s="16" t="s">
        <v>211</v>
      </c>
      <c r="F73" s="61">
        <f t="shared" si="24"/>
        <v>550</v>
      </c>
      <c r="G73" s="452">
        <f>G74</f>
        <v>0</v>
      </c>
      <c r="H73" s="142">
        <f t="shared" si="28"/>
        <v>0</v>
      </c>
      <c r="I73" s="462">
        <f t="shared" si="28"/>
        <v>0</v>
      </c>
      <c r="J73" s="90">
        <f t="shared" si="28"/>
        <v>0</v>
      </c>
      <c r="K73" s="94">
        <f t="shared" si="28"/>
        <v>0</v>
      </c>
      <c r="L73" s="474">
        <f t="shared" si="28"/>
        <v>0</v>
      </c>
      <c r="M73" s="482">
        <f t="shared" si="28"/>
        <v>550</v>
      </c>
      <c r="N73" s="494">
        <f t="shared" si="28"/>
        <v>0</v>
      </c>
    </row>
    <row r="74" spans="1:14" ht="12.75">
      <c r="A74" s="63"/>
      <c r="B74" s="63"/>
      <c r="C74" s="59"/>
      <c r="D74" s="1" t="s">
        <v>8</v>
      </c>
      <c r="E74" s="16" t="s">
        <v>216</v>
      </c>
      <c r="F74" s="61">
        <f t="shared" si="24"/>
        <v>550</v>
      </c>
      <c r="G74" s="452"/>
      <c r="H74" s="142"/>
      <c r="I74" s="462"/>
      <c r="J74" s="90"/>
      <c r="K74" s="94"/>
      <c r="L74" s="474"/>
      <c r="M74" s="482">
        <v>550</v>
      </c>
      <c r="N74" s="494"/>
    </row>
    <row r="75" spans="1:14" ht="38.25">
      <c r="A75" s="63"/>
      <c r="B75" s="63"/>
      <c r="C75" s="59" t="s">
        <v>273</v>
      </c>
      <c r="D75" s="1"/>
      <c r="E75" s="16" t="s">
        <v>154</v>
      </c>
      <c r="F75" s="61">
        <f>F76</f>
        <v>250</v>
      </c>
      <c r="G75" s="451">
        <f aca="true" t="shared" si="29" ref="G75:N76">G76</f>
        <v>0</v>
      </c>
      <c r="H75" s="141">
        <f t="shared" si="29"/>
        <v>0</v>
      </c>
      <c r="I75" s="461">
        <f t="shared" si="29"/>
        <v>0</v>
      </c>
      <c r="J75" s="89">
        <f t="shared" si="29"/>
        <v>0</v>
      </c>
      <c r="K75" s="93">
        <f t="shared" si="29"/>
        <v>0</v>
      </c>
      <c r="L75" s="471">
        <f t="shared" si="29"/>
        <v>0</v>
      </c>
      <c r="M75" s="481">
        <f t="shared" si="29"/>
        <v>250</v>
      </c>
      <c r="N75" s="491">
        <f t="shared" si="29"/>
        <v>0</v>
      </c>
    </row>
    <row r="76" spans="1:14" ht="12.75">
      <c r="A76" s="63"/>
      <c r="B76" s="63"/>
      <c r="C76" s="59"/>
      <c r="D76" s="1" t="s">
        <v>210</v>
      </c>
      <c r="E76" s="16" t="s">
        <v>211</v>
      </c>
      <c r="F76" s="61">
        <f>F77</f>
        <v>250</v>
      </c>
      <c r="G76" s="451">
        <f t="shared" si="29"/>
        <v>0</v>
      </c>
      <c r="H76" s="141">
        <f t="shared" si="29"/>
        <v>0</v>
      </c>
      <c r="I76" s="461">
        <f t="shared" si="29"/>
        <v>0</v>
      </c>
      <c r="J76" s="89">
        <f t="shared" si="29"/>
        <v>0</v>
      </c>
      <c r="K76" s="93">
        <f t="shared" si="29"/>
        <v>0</v>
      </c>
      <c r="L76" s="471">
        <f t="shared" si="29"/>
        <v>0</v>
      </c>
      <c r="M76" s="481">
        <f t="shared" si="29"/>
        <v>250</v>
      </c>
      <c r="N76" s="491">
        <f t="shared" si="29"/>
        <v>0</v>
      </c>
    </row>
    <row r="77" spans="1:14" ht="12.75">
      <c r="A77" s="63"/>
      <c r="B77" s="63"/>
      <c r="C77" s="59"/>
      <c r="D77" s="1" t="s">
        <v>8</v>
      </c>
      <c r="E77" s="16" t="s">
        <v>216</v>
      </c>
      <c r="F77" s="61">
        <f aca="true" t="shared" si="30" ref="F77:F86">G77+H77+I77+J77+K77+L77+M77+N77</f>
        <v>250</v>
      </c>
      <c r="G77" s="452"/>
      <c r="H77" s="142"/>
      <c r="I77" s="462"/>
      <c r="J77" s="90"/>
      <c r="K77" s="94"/>
      <c r="L77" s="474"/>
      <c r="M77" s="482">
        <v>250</v>
      </c>
      <c r="N77" s="494"/>
    </row>
    <row r="78" spans="1:14" ht="25.5">
      <c r="A78" s="63"/>
      <c r="B78" s="63"/>
      <c r="C78" s="59" t="s">
        <v>276</v>
      </c>
      <c r="D78" s="1"/>
      <c r="E78" s="16" t="s">
        <v>161</v>
      </c>
      <c r="F78" s="61">
        <f t="shared" si="30"/>
        <v>500</v>
      </c>
      <c r="G78" s="452">
        <f>G79</f>
        <v>0</v>
      </c>
      <c r="H78" s="142">
        <f aca="true" t="shared" si="31" ref="H78:N79">H79</f>
        <v>0</v>
      </c>
      <c r="I78" s="462">
        <f t="shared" si="31"/>
        <v>0</v>
      </c>
      <c r="J78" s="90">
        <f t="shared" si="31"/>
        <v>0</v>
      </c>
      <c r="K78" s="94">
        <f t="shared" si="31"/>
        <v>0</v>
      </c>
      <c r="L78" s="474">
        <f t="shared" si="31"/>
        <v>0</v>
      </c>
      <c r="M78" s="482">
        <f t="shared" si="31"/>
        <v>500</v>
      </c>
      <c r="N78" s="494">
        <f t="shared" si="31"/>
        <v>0</v>
      </c>
    </row>
    <row r="79" spans="1:14" ht="12.75">
      <c r="A79" s="63"/>
      <c r="B79" s="63"/>
      <c r="C79" s="59"/>
      <c r="D79" s="1" t="s">
        <v>210</v>
      </c>
      <c r="E79" s="16" t="s">
        <v>211</v>
      </c>
      <c r="F79" s="61">
        <f t="shared" si="30"/>
        <v>500</v>
      </c>
      <c r="G79" s="452">
        <f>G80</f>
        <v>0</v>
      </c>
      <c r="H79" s="142">
        <f t="shared" si="31"/>
        <v>0</v>
      </c>
      <c r="I79" s="462">
        <f t="shared" si="31"/>
        <v>0</v>
      </c>
      <c r="J79" s="90">
        <f t="shared" si="31"/>
        <v>0</v>
      </c>
      <c r="K79" s="94">
        <f t="shared" si="31"/>
        <v>0</v>
      </c>
      <c r="L79" s="474">
        <f t="shared" si="31"/>
        <v>0</v>
      </c>
      <c r="M79" s="482">
        <f t="shared" si="31"/>
        <v>500</v>
      </c>
      <c r="N79" s="494">
        <f t="shared" si="31"/>
        <v>0</v>
      </c>
    </row>
    <row r="80" spans="1:14" ht="12.75">
      <c r="A80" s="63"/>
      <c r="B80" s="63"/>
      <c r="C80" s="59"/>
      <c r="D80" s="1" t="s">
        <v>8</v>
      </c>
      <c r="E80" s="16" t="s">
        <v>216</v>
      </c>
      <c r="F80" s="61">
        <f t="shared" si="30"/>
        <v>500</v>
      </c>
      <c r="G80" s="452"/>
      <c r="H80" s="142"/>
      <c r="I80" s="462"/>
      <c r="J80" s="90"/>
      <c r="K80" s="94"/>
      <c r="L80" s="474"/>
      <c r="M80" s="482">
        <v>500</v>
      </c>
      <c r="N80" s="494"/>
    </row>
    <row r="81" spans="1:14" ht="38.25" customHeight="1">
      <c r="A81" s="63"/>
      <c r="B81" s="63"/>
      <c r="C81" s="59" t="s">
        <v>278</v>
      </c>
      <c r="D81" s="1"/>
      <c r="E81" s="16" t="s">
        <v>284</v>
      </c>
      <c r="F81" s="61">
        <f t="shared" si="30"/>
        <v>746.8</v>
      </c>
      <c r="G81" s="452">
        <f>G82</f>
        <v>0</v>
      </c>
      <c r="H81" s="142">
        <f aca="true" t="shared" si="32" ref="H81:N82">H82</f>
        <v>0</v>
      </c>
      <c r="I81" s="462">
        <f t="shared" si="32"/>
        <v>0</v>
      </c>
      <c r="J81" s="90">
        <f t="shared" si="32"/>
        <v>0</v>
      </c>
      <c r="K81" s="94">
        <f t="shared" si="32"/>
        <v>0</v>
      </c>
      <c r="L81" s="474">
        <f t="shared" si="32"/>
        <v>0</v>
      </c>
      <c r="M81" s="482">
        <f t="shared" si="32"/>
        <v>746.8</v>
      </c>
      <c r="N81" s="494">
        <f t="shared" si="32"/>
        <v>0</v>
      </c>
    </row>
    <row r="82" spans="1:14" ht="12.75">
      <c r="A82" s="63"/>
      <c r="B82" s="63"/>
      <c r="C82" s="59"/>
      <c r="D82" s="1" t="s">
        <v>210</v>
      </c>
      <c r="E82" s="16" t="s">
        <v>211</v>
      </c>
      <c r="F82" s="61">
        <f t="shared" si="30"/>
        <v>746.8</v>
      </c>
      <c r="G82" s="452">
        <f>G83</f>
        <v>0</v>
      </c>
      <c r="H82" s="142">
        <f t="shared" si="32"/>
        <v>0</v>
      </c>
      <c r="I82" s="462">
        <f t="shared" si="32"/>
        <v>0</v>
      </c>
      <c r="J82" s="90">
        <f t="shared" si="32"/>
        <v>0</v>
      </c>
      <c r="K82" s="94">
        <f t="shared" si="32"/>
        <v>0</v>
      </c>
      <c r="L82" s="474">
        <f t="shared" si="32"/>
        <v>0</v>
      </c>
      <c r="M82" s="482">
        <f t="shared" si="32"/>
        <v>746.8</v>
      </c>
      <c r="N82" s="494">
        <f t="shared" si="32"/>
        <v>0</v>
      </c>
    </row>
    <row r="83" spans="1:14" ht="12.75">
      <c r="A83" s="63"/>
      <c r="B83" s="63"/>
      <c r="C83" s="59"/>
      <c r="D83" s="1" t="s">
        <v>8</v>
      </c>
      <c r="E83" s="16" t="s">
        <v>216</v>
      </c>
      <c r="F83" s="61">
        <f t="shared" si="30"/>
        <v>746.8</v>
      </c>
      <c r="G83" s="452"/>
      <c r="H83" s="142"/>
      <c r="I83" s="462"/>
      <c r="J83" s="90"/>
      <c r="K83" s="94"/>
      <c r="L83" s="474"/>
      <c r="M83" s="482">
        <v>746.8</v>
      </c>
      <c r="N83" s="494"/>
    </row>
    <row r="84" spans="1:14" ht="38.25">
      <c r="A84" s="63"/>
      <c r="B84" s="63"/>
      <c r="C84" s="59" t="s">
        <v>277</v>
      </c>
      <c r="D84" s="1"/>
      <c r="E84" s="16" t="s">
        <v>163</v>
      </c>
      <c r="F84" s="61">
        <f t="shared" si="30"/>
        <v>840</v>
      </c>
      <c r="G84" s="452">
        <f>G85</f>
        <v>0</v>
      </c>
      <c r="H84" s="142">
        <f aca="true" t="shared" si="33" ref="H84:N85">H85</f>
        <v>0</v>
      </c>
      <c r="I84" s="462">
        <f t="shared" si="33"/>
        <v>0</v>
      </c>
      <c r="J84" s="90">
        <f t="shared" si="33"/>
        <v>0</v>
      </c>
      <c r="K84" s="94">
        <f t="shared" si="33"/>
        <v>0</v>
      </c>
      <c r="L84" s="474">
        <f t="shared" si="33"/>
        <v>0</v>
      </c>
      <c r="M84" s="482">
        <f t="shared" si="33"/>
        <v>840</v>
      </c>
      <c r="N84" s="494">
        <f t="shared" si="33"/>
        <v>0</v>
      </c>
    </row>
    <row r="85" spans="1:14" ht="12.75">
      <c r="A85" s="63"/>
      <c r="B85" s="63"/>
      <c r="C85" s="59"/>
      <c r="D85" s="1" t="s">
        <v>210</v>
      </c>
      <c r="E85" s="16" t="s">
        <v>211</v>
      </c>
      <c r="F85" s="61">
        <f t="shared" si="30"/>
        <v>840</v>
      </c>
      <c r="G85" s="452">
        <f>G86</f>
        <v>0</v>
      </c>
      <c r="H85" s="142">
        <f t="shared" si="33"/>
        <v>0</v>
      </c>
      <c r="I85" s="462">
        <f t="shared" si="33"/>
        <v>0</v>
      </c>
      <c r="J85" s="90">
        <f t="shared" si="33"/>
        <v>0</v>
      </c>
      <c r="K85" s="94">
        <f t="shared" si="33"/>
        <v>0</v>
      </c>
      <c r="L85" s="474">
        <f t="shared" si="33"/>
        <v>0</v>
      </c>
      <c r="M85" s="482">
        <f t="shared" si="33"/>
        <v>840</v>
      </c>
      <c r="N85" s="494">
        <f t="shared" si="33"/>
        <v>0</v>
      </c>
    </row>
    <row r="86" spans="1:14" ht="12.75">
      <c r="A86" s="63"/>
      <c r="B86" s="63"/>
      <c r="C86" s="59"/>
      <c r="D86" s="1" t="s">
        <v>8</v>
      </c>
      <c r="E86" s="16" t="s">
        <v>216</v>
      </c>
      <c r="F86" s="61">
        <f t="shared" si="30"/>
        <v>840</v>
      </c>
      <c r="G86" s="452"/>
      <c r="H86" s="142"/>
      <c r="I86" s="462"/>
      <c r="J86" s="90"/>
      <c r="K86" s="94"/>
      <c r="L86" s="474"/>
      <c r="M86" s="482">
        <v>840</v>
      </c>
      <c r="N86" s="494"/>
    </row>
    <row r="87" spans="1:14" ht="12.75">
      <c r="A87" s="63"/>
      <c r="B87" s="83" t="s">
        <v>41</v>
      </c>
      <c r="C87" s="59"/>
      <c r="D87" s="1"/>
      <c r="E87" s="16" t="s">
        <v>42</v>
      </c>
      <c r="F87" s="61">
        <f aca="true" t="shared" si="34" ref="F87:N92">F88</f>
        <v>365</v>
      </c>
      <c r="G87" s="451">
        <f t="shared" si="34"/>
        <v>0</v>
      </c>
      <c r="H87" s="141">
        <f t="shared" si="34"/>
        <v>0</v>
      </c>
      <c r="I87" s="461">
        <f t="shared" si="34"/>
        <v>365</v>
      </c>
      <c r="J87" s="89">
        <f t="shared" si="34"/>
        <v>0</v>
      </c>
      <c r="K87" s="93">
        <f t="shared" si="34"/>
        <v>0</v>
      </c>
      <c r="L87" s="471">
        <f t="shared" si="34"/>
        <v>0</v>
      </c>
      <c r="M87" s="481">
        <f t="shared" si="34"/>
        <v>0</v>
      </c>
      <c r="N87" s="491">
        <f t="shared" si="34"/>
        <v>0</v>
      </c>
    </row>
    <row r="88" spans="1:14" ht="12.75">
      <c r="A88" s="63"/>
      <c r="B88" s="83" t="s">
        <v>6</v>
      </c>
      <c r="C88" s="59"/>
      <c r="D88" s="1"/>
      <c r="E88" s="16" t="s">
        <v>43</v>
      </c>
      <c r="F88" s="61">
        <f t="shared" si="34"/>
        <v>365</v>
      </c>
      <c r="G88" s="451">
        <f t="shared" si="34"/>
        <v>0</v>
      </c>
      <c r="H88" s="141">
        <f t="shared" si="34"/>
        <v>0</v>
      </c>
      <c r="I88" s="461">
        <f t="shared" si="34"/>
        <v>365</v>
      </c>
      <c r="J88" s="89">
        <f t="shared" si="34"/>
        <v>0</v>
      </c>
      <c r="K88" s="93">
        <f t="shared" si="34"/>
        <v>0</v>
      </c>
      <c r="L88" s="471">
        <f t="shared" si="34"/>
        <v>0</v>
      </c>
      <c r="M88" s="481">
        <f t="shared" si="34"/>
        <v>0</v>
      </c>
      <c r="N88" s="491">
        <f t="shared" si="34"/>
        <v>0</v>
      </c>
    </row>
    <row r="89" spans="1:14" ht="25.5">
      <c r="A89" s="63"/>
      <c r="B89" s="82"/>
      <c r="C89" s="59" t="s">
        <v>323</v>
      </c>
      <c r="D89" s="1"/>
      <c r="E89" s="16" t="s">
        <v>329</v>
      </c>
      <c r="F89" s="61">
        <f t="shared" si="34"/>
        <v>365</v>
      </c>
      <c r="G89" s="451">
        <f t="shared" si="34"/>
        <v>0</v>
      </c>
      <c r="H89" s="141">
        <f t="shared" si="34"/>
        <v>0</v>
      </c>
      <c r="I89" s="461">
        <f t="shared" si="34"/>
        <v>365</v>
      </c>
      <c r="J89" s="89">
        <f t="shared" si="34"/>
        <v>0</v>
      </c>
      <c r="K89" s="93">
        <f t="shared" si="34"/>
        <v>0</v>
      </c>
      <c r="L89" s="471">
        <f t="shared" si="34"/>
        <v>0</v>
      </c>
      <c r="M89" s="481">
        <f t="shared" si="34"/>
        <v>0</v>
      </c>
      <c r="N89" s="491">
        <f t="shared" si="34"/>
        <v>0</v>
      </c>
    </row>
    <row r="90" spans="1:14" ht="12.75">
      <c r="A90" s="63"/>
      <c r="B90" s="82"/>
      <c r="C90" s="59" t="s">
        <v>324</v>
      </c>
      <c r="D90" s="1"/>
      <c r="E90" s="16" t="s">
        <v>330</v>
      </c>
      <c r="F90" s="61">
        <f t="shared" si="34"/>
        <v>365</v>
      </c>
      <c r="G90" s="451">
        <f t="shared" si="34"/>
        <v>0</v>
      </c>
      <c r="H90" s="141">
        <f t="shared" si="34"/>
        <v>0</v>
      </c>
      <c r="I90" s="461">
        <f t="shared" si="34"/>
        <v>365</v>
      </c>
      <c r="J90" s="89">
        <f t="shared" si="34"/>
        <v>0</v>
      </c>
      <c r="K90" s="93">
        <f t="shared" si="34"/>
        <v>0</v>
      </c>
      <c r="L90" s="471">
        <f t="shared" si="34"/>
        <v>0</v>
      </c>
      <c r="M90" s="481">
        <f t="shared" si="34"/>
        <v>0</v>
      </c>
      <c r="N90" s="491">
        <f t="shared" si="34"/>
        <v>0</v>
      </c>
    </row>
    <row r="91" spans="1:14" ht="12.75">
      <c r="A91" s="63"/>
      <c r="B91" s="82"/>
      <c r="C91" s="59" t="s">
        <v>325</v>
      </c>
      <c r="D91" s="1"/>
      <c r="E91" s="16" t="s">
        <v>317</v>
      </c>
      <c r="F91" s="61">
        <f t="shared" si="34"/>
        <v>365</v>
      </c>
      <c r="G91" s="451">
        <f t="shared" si="34"/>
        <v>0</v>
      </c>
      <c r="H91" s="141">
        <f t="shared" si="34"/>
        <v>0</v>
      </c>
      <c r="I91" s="461">
        <f t="shared" si="34"/>
        <v>365</v>
      </c>
      <c r="J91" s="89">
        <f t="shared" si="34"/>
        <v>0</v>
      </c>
      <c r="K91" s="93">
        <f t="shared" si="34"/>
        <v>0</v>
      </c>
      <c r="L91" s="471">
        <f t="shared" si="34"/>
        <v>0</v>
      </c>
      <c r="M91" s="481">
        <f t="shared" si="34"/>
        <v>0</v>
      </c>
      <c r="N91" s="491">
        <f t="shared" si="34"/>
        <v>0</v>
      </c>
    </row>
    <row r="92" spans="1:14" ht="12.75">
      <c r="A92" s="63"/>
      <c r="B92" s="82"/>
      <c r="C92" s="59"/>
      <c r="D92" s="1" t="s">
        <v>326</v>
      </c>
      <c r="E92" s="16" t="s">
        <v>45</v>
      </c>
      <c r="F92" s="61">
        <f t="shared" si="34"/>
        <v>365</v>
      </c>
      <c r="G92" s="451">
        <f t="shared" si="34"/>
        <v>0</v>
      </c>
      <c r="H92" s="141">
        <f t="shared" si="34"/>
        <v>0</v>
      </c>
      <c r="I92" s="461">
        <f t="shared" si="34"/>
        <v>365</v>
      </c>
      <c r="J92" s="89">
        <f t="shared" si="34"/>
        <v>0</v>
      </c>
      <c r="K92" s="93">
        <f t="shared" si="34"/>
        <v>0</v>
      </c>
      <c r="L92" s="471">
        <f t="shared" si="34"/>
        <v>0</v>
      </c>
      <c r="M92" s="481">
        <f t="shared" si="34"/>
        <v>0</v>
      </c>
      <c r="N92" s="491">
        <f t="shared" si="34"/>
        <v>0</v>
      </c>
    </row>
    <row r="93" spans="1:14" ht="12.75">
      <c r="A93" s="63"/>
      <c r="B93" s="82"/>
      <c r="C93" s="59"/>
      <c r="D93" s="1" t="s">
        <v>190</v>
      </c>
      <c r="E93" s="16" t="s">
        <v>299</v>
      </c>
      <c r="F93" s="61">
        <f>G93+H93+I93+J93+K93+L93+M93+N93</f>
        <v>365</v>
      </c>
      <c r="G93" s="452"/>
      <c r="H93" s="142"/>
      <c r="I93" s="462">
        <v>365</v>
      </c>
      <c r="J93" s="90"/>
      <c r="K93" s="94"/>
      <c r="L93" s="474"/>
      <c r="M93" s="482"/>
      <c r="N93" s="494"/>
    </row>
    <row r="94" spans="1:14" ht="12.75">
      <c r="A94" s="63"/>
      <c r="B94" s="83" t="s">
        <v>50</v>
      </c>
      <c r="C94" s="59"/>
      <c r="D94" s="1"/>
      <c r="E94" s="16" t="s">
        <v>51</v>
      </c>
      <c r="F94" s="61">
        <f>F95</f>
        <v>-7267.5</v>
      </c>
      <c r="G94" s="451">
        <f aca="true" t="shared" si="35" ref="G94:N94">G95</f>
        <v>0</v>
      </c>
      <c r="H94" s="141">
        <f t="shared" si="35"/>
        <v>0</v>
      </c>
      <c r="I94" s="461">
        <f t="shared" si="35"/>
        <v>-1817.5</v>
      </c>
      <c r="J94" s="89">
        <f t="shared" si="35"/>
        <v>0</v>
      </c>
      <c r="K94" s="93">
        <f t="shared" si="35"/>
        <v>0</v>
      </c>
      <c r="L94" s="471">
        <f t="shared" si="35"/>
        <v>-5450</v>
      </c>
      <c r="M94" s="481">
        <f t="shared" si="35"/>
        <v>0</v>
      </c>
      <c r="N94" s="491">
        <f t="shared" si="35"/>
        <v>0</v>
      </c>
    </row>
    <row r="95" spans="1:14" ht="12.75">
      <c r="A95" s="63"/>
      <c r="B95" s="83" t="s">
        <v>12</v>
      </c>
      <c r="C95" s="59"/>
      <c r="D95" s="1"/>
      <c r="E95" s="16" t="s">
        <v>52</v>
      </c>
      <c r="F95" s="61">
        <f>F96+F101</f>
        <v>-7267.5</v>
      </c>
      <c r="G95" s="451">
        <f aca="true" t="shared" si="36" ref="G95:N95">G96+G101</f>
        <v>0</v>
      </c>
      <c r="H95" s="141">
        <f t="shared" si="36"/>
        <v>0</v>
      </c>
      <c r="I95" s="461">
        <f t="shared" si="36"/>
        <v>-1817.5</v>
      </c>
      <c r="J95" s="89">
        <f t="shared" si="36"/>
        <v>0</v>
      </c>
      <c r="K95" s="93">
        <f t="shared" si="36"/>
        <v>0</v>
      </c>
      <c r="L95" s="471">
        <f t="shared" si="36"/>
        <v>-5450</v>
      </c>
      <c r="M95" s="481">
        <f t="shared" si="36"/>
        <v>0</v>
      </c>
      <c r="N95" s="491">
        <f t="shared" si="36"/>
        <v>0</v>
      </c>
    </row>
    <row r="96" spans="1:14" ht="25.5">
      <c r="A96" s="63"/>
      <c r="B96" s="82"/>
      <c r="C96" s="59" t="s">
        <v>323</v>
      </c>
      <c r="D96" s="1"/>
      <c r="E96" s="16" t="s">
        <v>329</v>
      </c>
      <c r="F96" s="61">
        <f>F97</f>
        <v>-1817.5</v>
      </c>
      <c r="G96" s="451">
        <f aca="true" t="shared" si="37" ref="G96:N99">G97</f>
        <v>0</v>
      </c>
      <c r="H96" s="141">
        <f t="shared" si="37"/>
        <v>0</v>
      </c>
      <c r="I96" s="461">
        <f t="shared" si="37"/>
        <v>-1817.5</v>
      </c>
      <c r="J96" s="89">
        <f t="shared" si="37"/>
        <v>0</v>
      </c>
      <c r="K96" s="93">
        <f t="shared" si="37"/>
        <v>0</v>
      </c>
      <c r="L96" s="471">
        <f t="shared" si="37"/>
        <v>0</v>
      </c>
      <c r="M96" s="481">
        <f t="shared" si="37"/>
        <v>0</v>
      </c>
      <c r="N96" s="491">
        <f t="shared" si="37"/>
        <v>0</v>
      </c>
    </row>
    <row r="97" spans="1:14" ht="12.75">
      <c r="A97" s="63"/>
      <c r="B97" s="82"/>
      <c r="C97" s="59" t="s">
        <v>324</v>
      </c>
      <c r="D97" s="1"/>
      <c r="E97" s="16" t="s">
        <v>330</v>
      </c>
      <c r="F97" s="61">
        <f>F98</f>
        <v>-1817.5</v>
      </c>
      <c r="G97" s="451">
        <f t="shared" si="37"/>
        <v>0</v>
      </c>
      <c r="H97" s="141">
        <f t="shared" si="37"/>
        <v>0</v>
      </c>
      <c r="I97" s="461">
        <f t="shared" si="37"/>
        <v>-1817.5</v>
      </c>
      <c r="J97" s="89">
        <f t="shared" si="37"/>
        <v>0</v>
      </c>
      <c r="K97" s="93">
        <f t="shared" si="37"/>
        <v>0</v>
      </c>
      <c r="L97" s="471">
        <f t="shared" si="37"/>
        <v>0</v>
      </c>
      <c r="M97" s="481">
        <f t="shared" si="37"/>
        <v>0</v>
      </c>
      <c r="N97" s="491">
        <f t="shared" si="37"/>
        <v>0</v>
      </c>
    </row>
    <row r="98" spans="1:14" ht="25.5">
      <c r="A98" s="63"/>
      <c r="B98" s="82"/>
      <c r="C98" s="59" t="s">
        <v>1097</v>
      </c>
      <c r="D98" s="1"/>
      <c r="E98" s="16" t="s">
        <v>1098</v>
      </c>
      <c r="F98" s="61">
        <f>F99</f>
        <v>-1817.5</v>
      </c>
      <c r="G98" s="451">
        <f t="shared" si="37"/>
        <v>0</v>
      </c>
      <c r="H98" s="141">
        <f t="shared" si="37"/>
        <v>0</v>
      </c>
      <c r="I98" s="461">
        <f t="shared" si="37"/>
        <v>-1817.5</v>
      </c>
      <c r="J98" s="89">
        <f t="shared" si="37"/>
        <v>0</v>
      </c>
      <c r="K98" s="93">
        <f t="shared" si="37"/>
        <v>0</v>
      </c>
      <c r="L98" s="471">
        <f t="shared" si="37"/>
        <v>0</v>
      </c>
      <c r="M98" s="481">
        <f t="shared" si="37"/>
        <v>0</v>
      </c>
      <c r="N98" s="491">
        <f t="shared" si="37"/>
        <v>0</v>
      </c>
    </row>
    <row r="99" spans="1:14" ht="12.75">
      <c r="A99" s="63"/>
      <c r="B99" s="82"/>
      <c r="C99" s="59"/>
      <c r="D99" s="1" t="s">
        <v>326</v>
      </c>
      <c r="E99" s="16" t="s">
        <v>45</v>
      </c>
      <c r="F99" s="61">
        <f>F100</f>
        <v>-1817.5</v>
      </c>
      <c r="G99" s="451">
        <f t="shared" si="37"/>
        <v>0</v>
      </c>
      <c r="H99" s="141">
        <f t="shared" si="37"/>
        <v>0</v>
      </c>
      <c r="I99" s="461">
        <f t="shared" si="37"/>
        <v>-1817.5</v>
      </c>
      <c r="J99" s="89">
        <f t="shared" si="37"/>
        <v>0</v>
      </c>
      <c r="K99" s="93">
        <f t="shared" si="37"/>
        <v>0</v>
      </c>
      <c r="L99" s="471">
        <f t="shared" si="37"/>
        <v>0</v>
      </c>
      <c r="M99" s="481">
        <f t="shared" si="37"/>
        <v>0</v>
      </c>
      <c r="N99" s="491">
        <f t="shared" si="37"/>
        <v>0</v>
      </c>
    </row>
    <row r="100" spans="1:14" ht="12.75">
      <c r="A100" s="63"/>
      <c r="B100" s="82"/>
      <c r="C100" s="59"/>
      <c r="D100" s="1" t="s">
        <v>190</v>
      </c>
      <c r="E100" s="16" t="s">
        <v>299</v>
      </c>
      <c r="F100" s="61">
        <f>G100+H100+I100+J100+K100+L100+M100+N100</f>
        <v>-1817.5</v>
      </c>
      <c r="G100" s="452"/>
      <c r="H100" s="142"/>
      <c r="I100" s="462">
        <v>-1817.5</v>
      </c>
      <c r="J100" s="90"/>
      <c r="K100" s="94"/>
      <c r="L100" s="474"/>
      <c r="M100" s="482"/>
      <c r="N100" s="494"/>
    </row>
    <row r="101" spans="1:14" ht="12.75">
      <c r="A101" s="63"/>
      <c r="B101" s="82"/>
      <c r="C101" s="59" t="s">
        <v>37</v>
      </c>
      <c r="D101" s="1"/>
      <c r="E101" s="16" t="s">
        <v>38</v>
      </c>
      <c r="F101" s="61">
        <f>F102</f>
        <v>-5450</v>
      </c>
      <c r="G101" s="451">
        <f aca="true" t="shared" si="38" ref="G101:N104">G102</f>
        <v>0</v>
      </c>
      <c r="H101" s="141">
        <f t="shared" si="38"/>
        <v>0</v>
      </c>
      <c r="I101" s="461">
        <f t="shared" si="38"/>
        <v>0</v>
      </c>
      <c r="J101" s="89">
        <f t="shared" si="38"/>
        <v>0</v>
      </c>
      <c r="K101" s="93">
        <f t="shared" si="38"/>
        <v>0</v>
      </c>
      <c r="L101" s="471">
        <f t="shared" si="38"/>
        <v>-5450</v>
      </c>
      <c r="M101" s="481">
        <f t="shared" si="38"/>
        <v>0</v>
      </c>
      <c r="N101" s="491">
        <f t="shared" si="38"/>
        <v>0</v>
      </c>
    </row>
    <row r="102" spans="1:14" ht="25.5">
      <c r="A102" s="63"/>
      <c r="B102" s="82"/>
      <c r="C102" s="59" t="s">
        <v>209</v>
      </c>
      <c r="D102" s="1"/>
      <c r="E102" s="16" t="s">
        <v>3</v>
      </c>
      <c r="F102" s="61">
        <f>F103</f>
        <v>-5450</v>
      </c>
      <c r="G102" s="451">
        <f t="shared" si="38"/>
        <v>0</v>
      </c>
      <c r="H102" s="141">
        <f t="shared" si="38"/>
        <v>0</v>
      </c>
      <c r="I102" s="461">
        <f t="shared" si="38"/>
        <v>0</v>
      </c>
      <c r="J102" s="89">
        <f t="shared" si="38"/>
        <v>0</v>
      </c>
      <c r="K102" s="93">
        <f t="shared" si="38"/>
        <v>0</v>
      </c>
      <c r="L102" s="471">
        <f t="shared" si="38"/>
        <v>-5450</v>
      </c>
      <c r="M102" s="481">
        <f t="shared" si="38"/>
        <v>0</v>
      </c>
      <c r="N102" s="491">
        <f t="shared" si="38"/>
        <v>0</v>
      </c>
    </row>
    <row r="103" spans="1:14" ht="12.75">
      <c r="A103" s="63"/>
      <c r="B103" s="82"/>
      <c r="C103" s="59"/>
      <c r="D103" s="1" t="s">
        <v>326</v>
      </c>
      <c r="E103" s="16" t="s">
        <v>45</v>
      </c>
      <c r="F103" s="61">
        <f>F104</f>
        <v>-5450</v>
      </c>
      <c r="G103" s="451">
        <f t="shared" si="38"/>
        <v>0</v>
      </c>
      <c r="H103" s="141">
        <f t="shared" si="38"/>
        <v>0</v>
      </c>
      <c r="I103" s="461">
        <f t="shared" si="38"/>
        <v>0</v>
      </c>
      <c r="J103" s="89">
        <f t="shared" si="38"/>
        <v>0</v>
      </c>
      <c r="K103" s="93">
        <f t="shared" si="38"/>
        <v>0</v>
      </c>
      <c r="L103" s="471">
        <f t="shared" si="38"/>
        <v>-5450</v>
      </c>
      <c r="M103" s="481">
        <f t="shared" si="38"/>
        <v>0</v>
      </c>
      <c r="N103" s="491">
        <f t="shared" si="38"/>
        <v>0</v>
      </c>
    </row>
    <row r="104" spans="1:14" ht="12.75">
      <c r="A104" s="63"/>
      <c r="B104" s="82"/>
      <c r="C104" s="59"/>
      <c r="D104" s="1" t="s">
        <v>190</v>
      </c>
      <c r="E104" s="16" t="s">
        <v>299</v>
      </c>
      <c r="F104" s="61">
        <f>F105</f>
        <v>-5450</v>
      </c>
      <c r="G104" s="451">
        <f t="shared" si="38"/>
        <v>0</v>
      </c>
      <c r="H104" s="141">
        <f t="shared" si="38"/>
        <v>0</v>
      </c>
      <c r="I104" s="461">
        <f t="shared" si="38"/>
        <v>0</v>
      </c>
      <c r="J104" s="89">
        <f t="shared" si="38"/>
        <v>0</v>
      </c>
      <c r="K104" s="93">
        <f t="shared" si="38"/>
        <v>0</v>
      </c>
      <c r="L104" s="471">
        <f t="shared" si="38"/>
        <v>-5450</v>
      </c>
      <c r="M104" s="481">
        <f t="shared" si="38"/>
        <v>0</v>
      </c>
      <c r="N104" s="491">
        <f t="shared" si="38"/>
        <v>0</v>
      </c>
    </row>
    <row r="105" spans="1:14" ht="25.5">
      <c r="A105" s="63"/>
      <c r="B105" s="82"/>
      <c r="C105" s="59"/>
      <c r="D105" s="1"/>
      <c r="E105" s="16" t="s">
        <v>1098</v>
      </c>
      <c r="F105" s="61">
        <f>G105+H105+I105+J105+K105+L105+M105+N105</f>
        <v>-5450</v>
      </c>
      <c r="G105" s="452"/>
      <c r="H105" s="142"/>
      <c r="I105" s="462"/>
      <c r="J105" s="90"/>
      <c r="K105" s="94"/>
      <c r="L105" s="474">
        <v>-5450</v>
      </c>
      <c r="M105" s="482"/>
      <c r="N105" s="494"/>
    </row>
    <row r="106" spans="1:14" ht="12.75">
      <c r="A106" s="81"/>
      <c r="B106" s="1" t="s">
        <v>63</v>
      </c>
      <c r="C106" s="59"/>
      <c r="D106" s="1"/>
      <c r="E106" s="16" t="s">
        <v>64</v>
      </c>
      <c r="F106" s="426">
        <f>F107</f>
        <v>-46678.487</v>
      </c>
      <c r="G106" s="452">
        <f>G107</f>
        <v>0</v>
      </c>
      <c r="H106" s="142">
        <f aca="true" t="shared" si="39" ref="H106:N110">H107</f>
        <v>0</v>
      </c>
      <c r="I106" s="462">
        <f t="shared" si="39"/>
        <v>0</v>
      </c>
      <c r="J106" s="90">
        <f t="shared" si="39"/>
        <v>-49278.5</v>
      </c>
      <c r="K106" s="94">
        <f t="shared" si="39"/>
        <v>0</v>
      </c>
      <c r="L106" s="474">
        <f t="shared" si="39"/>
        <v>0</v>
      </c>
      <c r="M106" s="482">
        <f t="shared" si="39"/>
        <v>2600.013</v>
      </c>
      <c r="N106" s="494">
        <f t="shared" si="39"/>
        <v>0</v>
      </c>
    </row>
    <row r="107" spans="1:14" ht="12.75">
      <c r="A107" s="81"/>
      <c r="B107" s="1" t="s">
        <v>118</v>
      </c>
      <c r="C107" s="59"/>
      <c r="D107" s="1"/>
      <c r="E107" s="16" t="s">
        <v>119</v>
      </c>
      <c r="F107" s="74">
        <f aca="true" t="shared" si="40" ref="F107:F113">G107+H107+I107+J107+K107+L107+M107+N107</f>
        <v>-46678.487</v>
      </c>
      <c r="G107" s="452">
        <f>G108</f>
        <v>0</v>
      </c>
      <c r="H107" s="142">
        <f t="shared" si="39"/>
        <v>0</v>
      </c>
      <c r="I107" s="462">
        <f t="shared" si="39"/>
        <v>0</v>
      </c>
      <c r="J107" s="90">
        <f t="shared" si="39"/>
        <v>-49278.5</v>
      </c>
      <c r="K107" s="94">
        <f t="shared" si="39"/>
        <v>0</v>
      </c>
      <c r="L107" s="474">
        <f t="shared" si="39"/>
        <v>0</v>
      </c>
      <c r="M107" s="482">
        <f t="shared" si="39"/>
        <v>2600.013</v>
      </c>
      <c r="N107" s="494">
        <f t="shared" si="39"/>
        <v>0</v>
      </c>
    </row>
    <row r="108" spans="1:14" ht="12.75">
      <c r="A108" s="81"/>
      <c r="B108" s="1"/>
      <c r="C108" s="59" t="s">
        <v>66</v>
      </c>
      <c r="D108" s="1"/>
      <c r="E108" s="16" t="s">
        <v>67</v>
      </c>
      <c r="F108" s="74">
        <f t="shared" si="40"/>
        <v>-46678.487</v>
      </c>
      <c r="G108" s="452">
        <f>G109</f>
        <v>0</v>
      </c>
      <c r="H108" s="142">
        <f t="shared" si="39"/>
        <v>0</v>
      </c>
      <c r="I108" s="462">
        <f t="shared" si="39"/>
        <v>0</v>
      </c>
      <c r="J108" s="90">
        <f t="shared" si="39"/>
        <v>-49278.5</v>
      </c>
      <c r="K108" s="94">
        <f t="shared" si="39"/>
        <v>0</v>
      </c>
      <c r="L108" s="474">
        <f t="shared" si="39"/>
        <v>0</v>
      </c>
      <c r="M108" s="482">
        <f t="shared" si="39"/>
        <v>2600.013</v>
      </c>
      <c r="N108" s="494">
        <f t="shared" si="39"/>
        <v>0</v>
      </c>
    </row>
    <row r="109" spans="1:14" ht="38.25">
      <c r="A109" s="63"/>
      <c r="B109" s="1"/>
      <c r="C109" s="59" t="s">
        <v>236</v>
      </c>
      <c r="D109" s="1"/>
      <c r="E109" s="16" t="s">
        <v>237</v>
      </c>
      <c r="F109" s="74">
        <f t="shared" si="40"/>
        <v>-46678.487</v>
      </c>
      <c r="G109" s="452">
        <f>G110</f>
        <v>0</v>
      </c>
      <c r="H109" s="142">
        <f t="shared" si="39"/>
        <v>0</v>
      </c>
      <c r="I109" s="462">
        <f t="shared" si="39"/>
        <v>0</v>
      </c>
      <c r="J109" s="90">
        <f t="shared" si="39"/>
        <v>-49278.5</v>
      </c>
      <c r="K109" s="94">
        <f t="shared" si="39"/>
        <v>0</v>
      </c>
      <c r="L109" s="474">
        <f t="shared" si="39"/>
        <v>0</v>
      </c>
      <c r="M109" s="482">
        <f t="shared" si="39"/>
        <v>2600.013</v>
      </c>
      <c r="N109" s="494">
        <f t="shared" si="39"/>
        <v>0</v>
      </c>
    </row>
    <row r="110" spans="1:14" ht="12.75">
      <c r="A110" s="63"/>
      <c r="B110" s="1"/>
      <c r="C110" s="59"/>
      <c r="D110" s="1" t="s">
        <v>212</v>
      </c>
      <c r="E110" s="16" t="s">
        <v>45</v>
      </c>
      <c r="F110" s="61">
        <f t="shared" si="40"/>
        <v>-46678.487</v>
      </c>
      <c r="G110" s="452">
        <f>G111</f>
        <v>0</v>
      </c>
      <c r="H110" s="142">
        <f t="shared" si="39"/>
        <v>0</v>
      </c>
      <c r="I110" s="462">
        <f t="shared" si="39"/>
        <v>0</v>
      </c>
      <c r="J110" s="90">
        <f t="shared" si="39"/>
        <v>-49278.5</v>
      </c>
      <c r="K110" s="94">
        <f t="shared" si="39"/>
        <v>0</v>
      </c>
      <c r="L110" s="474">
        <f t="shared" si="39"/>
        <v>0</v>
      </c>
      <c r="M110" s="482">
        <f t="shared" si="39"/>
        <v>2600.013</v>
      </c>
      <c r="N110" s="494">
        <f t="shared" si="39"/>
        <v>0</v>
      </c>
    </row>
    <row r="111" spans="1:14" ht="25.5" customHeight="1">
      <c r="A111" s="63"/>
      <c r="B111" s="1"/>
      <c r="C111" s="59"/>
      <c r="D111" s="1" t="s">
        <v>190</v>
      </c>
      <c r="E111" s="16" t="s">
        <v>1212</v>
      </c>
      <c r="F111" s="61">
        <f t="shared" si="40"/>
        <v>-46678.487</v>
      </c>
      <c r="G111" s="452">
        <f>G112+G113</f>
        <v>0</v>
      </c>
      <c r="H111" s="142">
        <f aca="true" t="shared" si="41" ref="H111:N111">H112+H113</f>
        <v>0</v>
      </c>
      <c r="I111" s="462">
        <f t="shared" si="41"/>
        <v>0</v>
      </c>
      <c r="J111" s="90">
        <f t="shared" si="41"/>
        <v>-49278.5</v>
      </c>
      <c r="K111" s="94">
        <f t="shared" si="41"/>
        <v>0</v>
      </c>
      <c r="L111" s="474">
        <f t="shared" si="41"/>
        <v>0</v>
      </c>
      <c r="M111" s="482">
        <f t="shared" si="41"/>
        <v>2600.013</v>
      </c>
      <c r="N111" s="494">
        <f t="shared" si="41"/>
        <v>0</v>
      </c>
    </row>
    <row r="112" spans="1:14" ht="38.25">
      <c r="A112" s="63"/>
      <c r="B112" s="63"/>
      <c r="C112" s="1" t="s">
        <v>192</v>
      </c>
      <c r="D112" s="1"/>
      <c r="E112" s="16" t="s">
        <v>144</v>
      </c>
      <c r="F112" s="61">
        <f t="shared" si="40"/>
        <v>-28340.487</v>
      </c>
      <c r="G112" s="452"/>
      <c r="H112" s="142"/>
      <c r="I112" s="462"/>
      <c r="J112" s="90">
        <v>-30940.5</v>
      </c>
      <c r="K112" s="94"/>
      <c r="L112" s="474"/>
      <c r="M112" s="482">
        <v>2600.013</v>
      </c>
      <c r="N112" s="494"/>
    </row>
    <row r="113" spans="1:14" ht="38.25">
      <c r="A113" s="63"/>
      <c r="B113" s="63"/>
      <c r="C113" s="1" t="s">
        <v>263</v>
      </c>
      <c r="D113" s="1"/>
      <c r="E113" s="16" t="s">
        <v>184</v>
      </c>
      <c r="F113" s="61">
        <f t="shared" si="40"/>
        <v>-18338</v>
      </c>
      <c r="G113" s="452"/>
      <c r="H113" s="142"/>
      <c r="I113" s="462"/>
      <c r="J113" s="90">
        <v>-18338</v>
      </c>
      <c r="K113" s="94"/>
      <c r="L113" s="474"/>
      <c r="M113" s="482"/>
      <c r="N113" s="494"/>
    </row>
    <row r="114" spans="1:16" s="67" customFormat="1" ht="12.75">
      <c r="A114" s="37" t="s">
        <v>135</v>
      </c>
      <c r="B114" s="37"/>
      <c r="C114" s="37"/>
      <c r="D114" s="37"/>
      <c r="E114" s="15" t="s">
        <v>214</v>
      </c>
      <c r="F114" s="66">
        <f aca="true" t="shared" si="42" ref="F114:N114">F115+F135+F147+F157+F164</f>
        <v>9043.599999999999</v>
      </c>
      <c r="G114" s="450">
        <f t="shared" si="42"/>
        <v>2835.9</v>
      </c>
      <c r="H114" s="140">
        <f t="shared" si="42"/>
        <v>4120</v>
      </c>
      <c r="I114" s="460">
        <f t="shared" si="42"/>
        <v>0</v>
      </c>
      <c r="J114" s="88">
        <f t="shared" si="42"/>
        <v>0</v>
      </c>
      <c r="K114" s="92">
        <f t="shared" si="42"/>
        <v>0</v>
      </c>
      <c r="L114" s="470">
        <f t="shared" si="42"/>
        <v>1951.7</v>
      </c>
      <c r="M114" s="480">
        <f t="shared" si="42"/>
        <v>136</v>
      </c>
      <c r="N114" s="490">
        <f t="shared" si="42"/>
        <v>0</v>
      </c>
      <c r="O114" s="4"/>
      <c r="P114" s="4"/>
    </row>
    <row r="115" spans="1:14" ht="12.75">
      <c r="A115" s="9"/>
      <c r="B115" s="9" t="s">
        <v>26</v>
      </c>
      <c r="C115" s="9"/>
      <c r="D115" s="9"/>
      <c r="E115" s="16" t="s">
        <v>27</v>
      </c>
      <c r="F115" s="61">
        <f>F116+F129</f>
        <v>2170.979</v>
      </c>
      <c r="G115" s="451">
        <f>G116+G129</f>
        <v>2150.7</v>
      </c>
      <c r="H115" s="141">
        <f aca="true" t="shared" si="43" ref="H115:N115">H116+H129</f>
        <v>50</v>
      </c>
      <c r="I115" s="461">
        <f t="shared" si="43"/>
        <v>0</v>
      </c>
      <c r="J115" s="89">
        <f t="shared" si="43"/>
        <v>0</v>
      </c>
      <c r="K115" s="93">
        <f t="shared" si="43"/>
        <v>0</v>
      </c>
      <c r="L115" s="471">
        <f t="shared" si="43"/>
        <v>0</v>
      </c>
      <c r="M115" s="481">
        <f t="shared" si="43"/>
        <v>0</v>
      </c>
      <c r="N115" s="491">
        <f t="shared" si="43"/>
        <v>-29.721</v>
      </c>
    </row>
    <row r="116" spans="1:14" ht="38.25">
      <c r="A116" s="9"/>
      <c r="B116" s="9" t="s">
        <v>7</v>
      </c>
      <c r="C116" s="9"/>
      <c r="D116" s="9"/>
      <c r="E116" s="16" t="s">
        <v>215</v>
      </c>
      <c r="F116" s="61">
        <f>F117+F124</f>
        <v>1845.9789999999998</v>
      </c>
      <c r="G116" s="451">
        <f aca="true" t="shared" si="44" ref="G116:N116">G117+G124</f>
        <v>1825.6999999999998</v>
      </c>
      <c r="H116" s="141">
        <f t="shared" si="44"/>
        <v>50</v>
      </c>
      <c r="I116" s="461">
        <f t="shared" si="44"/>
        <v>0</v>
      </c>
      <c r="J116" s="89">
        <f t="shared" si="44"/>
        <v>0</v>
      </c>
      <c r="K116" s="93">
        <f t="shared" si="44"/>
        <v>0</v>
      </c>
      <c r="L116" s="471">
        <f t="shared" si="44"/>
        <v>0</v>
      </c>
      <c r="M116" s="481">
        <f t="shared" si="44"/>
        <v>0</v>
      </c>
      <c r="N116" s="491">
        <f t="shared" si="44"/>
        <v>-29.721</v>
      </c>
    </row>
    <row r="117" spans="1:14" ht="25.5">
      <c r="A117" s="9"/>
      <c r="B117" s="9"/>
      <c r="C117" s="9" t="s">
        <v>28</v>
      </c>
      <c r="D117" s="9"/>
      <c r="E117" s="16" t="s">
        <v>29</v>
      </c>
      <c r="F117" s="61">
        <f>F118</f>
        <v>1795.9789999999998</v>
      </c>
      <c r="G117" s="451">
        <f aca="true" t="shared" si="45" ref="G117:N118">G118</f>
        <v>1825.6999999999998</v>
      </c>
      <c r="H117" s="141">
        <f t="shared" si="45"/>
        <v>0</v>
      </c>
      <c r="I117" s="461">
        <f t="shared" si="45"/>
        <v>0</v>
      </c>
      <c r="J117" s="89">
        <f t="shared" si="45"/>
        <v>0</v>
      </c>
      <c r="K117" s="93">
        <f t="shared" si="45"/>
        <v>0</v>
      </c>
      <c r="L117" s="471">
        <f t="shared" si="45"/>
        <v>0</v>
      </c>
      <c r="M117" s="481">
        <f t="shared" si="45"/>
        <v>0</v>
      </c>
      <c r="N117" s="491">
        <f t="shared" si="45"/>
        <v>-29.721</v>
      </c>
    </row>
    <row r="118" spans="1:14" ht="12.75">
      <c r="A118" s="9"/>
      <c r="B118" s="9"/>
      <c r="C118" s="9" t="s">
        <v>30</v>
      </c>
      <c r="D118" s="9"/>
      <c r="E118" s="16" t="s">
        <v>31</v>
      </c>
      <c r="F118" s="61">
        <f>F119</f>
        <v>1795.9789999999998</v>
      </c>
      <c r="G118" s="451">
        <f t="shared" si="45"/>
        <v>1825.6999999999998</v>
      </c>
      <c r="H118" s="141">
        <f t="shared" si="45"/>
        <v>0</v>
      </c>
      <c r="I118" s="461">
        <f t="shared" si="45"/>
        <v>0</v>
      </c>
      <c r="J118" s="89">
        <f t="shared" si="45"/>
        <v>0</v>
      </c>
      <c r="K118" s="93">
        <f t="shared" si="45"/>
        <v>0</v>
      </c>
      <c r="L118" s="471">
        <f t="shared" si="45"/>
        <v>0</v>
      </c>
      <c r="M118" s="481">
        <f t="shared" si="45"/>
        <v>0</v>
      </c>
      <c r="N118" s="491">
        <f t="shared" si="45"/>
        <v>-29.721</v>
      </c>
    </row>
    <row r="119" spans="1:14" ht="12.75">
      <c r="A119" s="9"/>
      <c r="B119" s="9"/>
      <c r="C119" s="9" t="s">
        <v>32</v>
      </c>
      <c r="D119" s="9"/>
      <c r="E119" s="16" t="s">
        <v>33</v>
      </c>
      <c r="F119" s="61">
        <f>F120+F122</f>
        <v>1795.9789999999998</v>
      </c>
      <c r="G119" s="451">
        <f aca="true" t="shared" si="46" ref="G119:N119">G120+G122</f>
        <v>1825.6999999999998</v>
      </c>
      <c r="H119" s="141">
        <f t="shared" si="46"/>
        <v>0</v>
      </c>
      <c r="I119" s="461">
        <f t="shared" si="46"/>
        <v>0</v>
      </c>
      <c r="J119" s="89">
        <f t="shared" si="46"/>
        <v>0</v>
      </c>
      <c r="K119" s="93">
        <f t="shared" si="46"/>
        <v>0</v>
      </c>
      <c r="L119" s="471">
        <f t="shared" si="46"/>
        <v>0</v>
      </c>
      <c r="M119" s="481">
        <f t="shared" si="46"/>
        <v>0</v>
      </c>
      <c r="N119" s="491">
        <f t="shared" si="46"/>
        <v>-29.721</v>
      </c>
    </row>
    <row r="120" spans="1:14" ht="38.25">
      <c r="A120" s="9"/>
      <c r="B120" s="9"/>
      <c r="C120" s="9"/>
      <c r="D120" s="9" t="s">
        <v>227</v>
      </c>
      <c r="E120" s="16" t="s">
        <v>331</v>
      </c>
      <c r="F120" s="61">
        <f>F121</f>
        <v>1163.1</v>
      </c>
      <c r="G120" s="451">
        <f aca="true" t="shared" si="47" ref="G120:N120">G121</f>
        <v>1163.1</v>
      </c>
      <c r="H120" s="141">
        <f t="shared" si="47"/>
        <v>0</v>
      </c>
      <c r="I120" s="461">
        <f t="shared" si="47"/>
        <v>0</v>
      </c>
      <c r="J120" s="89">
        <f t="shared" si="47"/>
        <v>0</v>
      </c>
      <c r="K120" s="93">
        <f t="shared" si="47"/>
        <v>0</v>
      </c>
      <c r="L120" s="471">
        <f t="shared" si="47"/>
        <v>0</v>
      </c>
      <c r="M120" s="481">
        <f t="shared" si="47"/>
        <v>0</v>
      </c>
      <c r="N120" s="491">
        <f t="shared" si="47"/>
        <v>0</v>
      </c>
    </row>
    <row r="121" spans="1:14" ht="12.75">
      <c r="A121" s="9"/>
      <c r="B121" s="9"/>
      <c r="C121" s="9"/>
      <c r="D121" s="9" t="s">
        <v>121</v>
      </c>
      <c r="E121" s="16" t="s">
        <v>229</v>
      </c>
      <c r="F121" s="61">
        <f>G121+H121+I121+J121+K121+L121+M121+N121</f>
        <v>1163.1</v>
      </c>
      <c r="G121" s="451">
        <v>1163.1</v>
      </c>
      <c r="H121" s="141"/>
      <c r="I121" s="461"/>
      <c r="J121" s="89"/>
      <c r="K121" s="93"/>
      <c r="L121" s="471"/>
      <c r="M121" s="481"/>
      <c r="N121" s="491"/>
    </row>
    <row r="122" spans="1:14" ht="12.75">
      <c r="A122" s="9"/>
      <c r="B122" s="9"/>
      <c r="C122" s="9"/>
      <c r="D122" s="9" t="s">
        <v>210</v>
      </c>
      <c r="E122" s="16" t="s">
        <v>211</v>
      </c>
      <c r="F122" s="61">
        <f>F123</f>
        <v>632.879</v>
      </c>
      <c r="G122" s="451">
        <f aca="true" t="shared" si="48" ref="G122:N122">G123</f>
        <v>662.6</v>
      </c>
      <c r="H122" s="141">
        <f t="shared" si="48"/>
        <v>0</v>
      </c>
      <c r="I122" s="461">
        <f t="shared" si="48"/>
        <v>0</v>
      </c>
      <c r="J122" s="89">
        <f t="shared" si="48"/>
        <v>0</v>
      </c>
      <c r="K122" s="93">
        <f t="shared" si="48"/>
        <v>0</v>
      </c>
      <c r="L122" s="471">
        <f t="shared" si="48"/>
        <v>0</v>
      </c>
      <c r="M122" s="481">
        <f t="shared" si="48"/>
        <v>0</v>
      </c>
      <c r="N122" s="491">
        <f t="shared" si="48"/>
        <v>-29.721</v>
      </c>
    </row>
    <row r="123" spans="1:14" ht="12.75">
      <c r="A123" s="9"/>
      <c r="B123" s="9"/>
      <c r="C123" s="9"/>
      <c r="D123" s="9" t="s">
        <v>8</v>
      </c>
      <c r="E123" s="16" t="s">
        <v>216</v>
      </c>
      <c r="F123" s="61">
        <f aca="true" t="shared" si="49" ref="F123:F135">G123+H123+I123+J123+K123+L123+M123+N123</f>
        <v>632.879</v>
      </c>
      <c r="G123" s="452">
        <v>662.6</v>
      </c>
      <c r="H123" s="142"/>
      <c r="I123" s="462"/>
      <c r="J123" s="90"/>
      <c r="K123" s="94"/>
      <c r="L123" s="474"/>
      <c r="M123" s="482"/>
      <c r="N123" s="494">
        <v>-29.721</v>
      </c>
    </row>
    <row r="124" spans="1:14" ht="12.75">
      <c r="A124" s="63"/>
      <c r="B124" s="63"/>
      <c r="C124" s="1" t="s">
        <v>54</v>
      </c>
      <c r="D124" s="1"/>
      <c r="E124" s="16" t="s">
        <v>55</v>
      </c>
      <c r="F124" s="61">
        <f t="shared" si="49"/>
        <v>50</v>
      </c>
      <c r="G124" s="452">
        <f>G125</f>
        <v>0</v>
      </c>
      <c r="H124" s="142">
        <f aca="true" t="shared" si="50" ref="H124:N127">H125</f>
        <v>50</v>
      </c>
      <c r="I124" s="462">
        <f t="shared" si="50"/>
        <v>0</v>
      </c>
      <c r="J124" s="90">
        <f t="shared" si="50"/>
        <v>0</v>
      </c>
      <c r="K124" s="94">
        <f t="shared" si="50"/>
        <v>0</v>
      </c>
      <c r="L124" s="474">
        <f t="shared" si="50"/>
        <v>0</v>
      </c>
      <c r="M124" s="482">
        <f t="shared" si="50"/>
        <v>0</v>
      </c>
      <c r="N124" s="494">
        <f t="shared" si="50"/>
        <v>0</v>
      </c>
    </row>
    <row r="125" spans="1:14" ht="12.75">
      <c r="A125" s="63"/>
      <c r="B125" s="63"/>
      <c r="C125" s="1" t="s">
        <v>56</v>
      </c>
      <c r="D125" s="1"/>
      <c r="E125" s="16" t="s">
        <v>57</v>
      </c>
      <c r="F125" s="61">
        <f t="shared" si="49"/>
        <v>50</v>
      </c>
      <c r="G125" s="452">
        <f>G126</f>
        <v>0</v>
      </c>
      <c r="H125" s="142">
        <f t="shared" si="50"/>
        <v>50</v>
      </c>
      <c r="I125" s="462">
        <f t="shared" si="50"/>
        <v>0</v>
      </c>
      <c r="J125" s="90">
        <f t="shared" si="50"/>
        <v>0</v>
      </c>
      <c r="K125" s="94">
        <f t="shared" si="50"/>
        <v>0</v>
      </c>
      <c r="L125" s="474">
        <f t="shared" si="50"/>
        <v>0</v>
      </c>
      <c r="M125" s="482">
        <f t="shared" si="50"/>
        <v>0</v>
      </c>
      <c r="N125" s="494">
        <f t="shared" si="50"/>
        <v>0</v>
      </c>
    </row>
    <row r="126" spans="1:14" ht="25.5">
      <c r="A126" s="63"/>
      <c r="B126" s="63"/>
      <c r="C126" s="59" t="s">
        <v>287</v>
      </c>
      <c r="D126" s="1"/>
      <c r="E126" s="16" t="s">
        <v>185</v>
      </c>
      <c r="F126" s="61">
        <f t="shared" si="49"/>
        <v>50</v>
      </c>
      <c r="G126" s="452">
        <f>G127</f>
        <v>0</v>
      </c>
      <c r="H126" s="142">
        <f t="shared" si="50"/>
        <v>50</v>
      </c>
      <c r="I126" s="462">
        <f t="shared" si="50"/>
        <v>0</v>
      </c>
      <c r="J126" s="90">
        <f t="shared" si="50"/>
        <v>0</v>
      </c>
      <c r="K126" s="94">
        <f t="shared" si="50"/>
        <v>0</v>
      </c>
      <c r="L126" s="474">
        <f t="shared" si="50"/>
        <v>0</v>
      </c>
      <c r="M126" s="482">
        <f t="shared" si="50"/>
        <v>0</v>
      </c>
      <c r="N126" s="494">
        <f t="shared" si="50"/>
        <v>0</v>
      </c>
    </row>
    <row r="127" spans="1:14" ht="12.75">
      <c r="A127" s="63"/>
      <c r="B127" s="63"/>
      <c r="C127" s="59"/>
      <c r="D127" s="1" t="s">
        <v>210</v>
      </c>
      <c r="E127" s="16" t="s">
        <v>211</v>
      </c>
      <c r="F127" s="61">
        <f t="shared" si="49"/>
        <v>50</v>
      </c>
      <c r="G127" s="452">
        <f>G128</f>
        <v>0</v>
      </c>
      <c r="H127" s="142">
        <f t="shared" si="50"/>
        <v>50</v>
      </c>
      <c r="I127" s="462">
        <f t="shared" si="50"/>
        <v>0</v>
      </c>
      <c r="J127" s="90">
        <f t="shared" si="50"/>
        <v>0</v>
      </c>
      <c r="K127" s="94">
        <f t="shared" si="50"/>
        <v>0</v>
      </c>
      <c r="L127" s="474">
        <f t="shared" si="50"/>
        <v>0</v>
      </c>
      <c r="M127" s="482">
        <f t="shared" si="50"/>
        <v>0</v>
      </c>
      <c r="N127" s="494">
        <f t="shared" si="50"/>
        <v>0</v>
      </c>
    </row>
    <row r="128" spans="1:14" ht="12.75">
      <c r="A128" s="63"/>
      <c r="B128" s="63"/>
      <c r="C128" s="59"/>
      <c r="D128" s="1" t="s">
        <v>8</v>
      </c>
      <c r="E128" s="16" t="s">
        <v>216</v>
      </c>
      <c r="F128" s="61">
        <f t="shared" si="49"/>
        <v>50</v>
      </c>
      <c r="G128" s="452"/>
      <c r="H128" s="142">
        <v>50</v>
      </c>
      <c r="I128" s="462"/>
      <c r="J128" s="90"/>
      <c r="K128" s="94"/>
      <c r="L128" s="474"/>
      <c r="M128" s="482"/>
      <c r="N128" s="494"/>
    </row>
    <row r="129" spans="1:14" ht="12.75">
      <c r="A129" s="63"/>
      <c r="B129" s="9" t="s">
        <v>80</v>
      </c>
      <c r="C129" s="59"/>
      <c r="D129" s="1"/>
      <c r="E129" s="16" t="s">
        <v>81</v>
      </c>
      <c r="F129" s="61">
        <f>F130</f>
        <v>325</v>
      </c>
      <c r="G129" s="451">
        <f aca="true" t="shared" si="51" ref="G129:N133">G130</f>
        <v>325</v>
      </c>
      <c r="H129" s="141">
        <f t="shared" si="51"/>
        <v>0</v>
      </c>
      <c r="I129" s="461">
        <f t="shared" si="51"/>
        <v>0</v>
      </c>
      <c r="J129" s="89">
        <f t="shared" si="51"/>
        <v>0</v>
      </c>
      <c r="K129" s="93">
        <f t="shared" si="51"/>
        <v>0</v>
      </c>
      <c r="L129" s="471">
        <f t="shared" si="51"/>
        <v>0</v>
      </c>
      <c r="M129" s="481">
        <f t="shared" si="51"/>
        <v>0</v>
      </c>
      <c r="N129" s="491">
        <f t="shared" si="51"/>
        <v>0</v>
      </c>
    </row>
    <row r="130" spans="1:14" ht="12.75">
      <c r="A130" s="63"/>
      <c r="B130" s="9"/>
      <c r="C130" s="59" t="s">
        <v>82</v>
      </c>
      <c r="D130" s="1"/>
      <c r="E130" s="16" t="s">
        <v>264</v>
      </c>
      <c r="F130" s="61">
        <f>F131</f>
        <v>325</v>
      </c>
      <c r="G130" s="451">
        <f t="shared" si="51"/>
        <v>325</v>
      </c>
      <c r="H130" s="141">
        <f t="shared" si="51"/>
        <v>0</v>
      </c>
      <c r="I130" s="461">
        <f t="shared" si="51"/>
        <v>0</v>
      </c>
      <c r="J130" s="89">
        <f t="shared" si="51"/>
        <v>0</v>
      </c>
      <c r="K130" s="93">
        <f t="shared" si="51"/>
        <v>0</v>
      </c>
      <c r="L130" s="471">
        <f t="shared" si="51"/>
        <v>0</v>
      </c>
      <c r="M130" s="481">
        <f t="shared" si="51"/>
        <v>0</v>
      </c>
      <c r="N130" s="491">
        <f t="shared" si="51"/>
        <v>0</v>
      </c>
    </row>
    <row r="131" spans="1:14" ht="12.75">
      <c r="A131" s="63"/>
      <c r="B131" s="9"/>
      <c r="C131" s="59" t="s">
        <v>84</v>
      </c>
      <c r="D131" s="1"/>
      <c r="E131" s="16" t="s">
        <v>85</v>
      </c>
      <c r="F131" s="61">
        <f>F132</f>
        <v>325</v>
      </c>
      <c r="G131" s="451">
        <f t="shared" si="51"/>
        <v>325</v>
      </c>
      <c r="H131" s="141">
        <f t="shared" si="51"/>
        <v>0</v>
      </c>
      <c r="I131" s="461">
        <f t="shared" si="51"/>
        <v>0</v>
      </c>
      <c r="J131" s="89">
        <f t="shared" si="51"/>
        <v>0</v>
      </c>
      <c r="K131" s="93">
        <f t="shared" si="51"/>
        <v>0</v>
      </c>
      <c r="L131" s="471">
        <f t="shared" si="51"/>
        <v>0</v>
      </c>
      <c r="M131" s="481">
        <f t="shared" si="51"/>
        <v>0</v>
      </c>
      <c r="N131" s="491">
        <f t="shared" si="51"/>
        <v>0</v>
      </c>
    </row>
    <row r="132" spans="1:14" ht="25.5">
      <c r="A132" s="63"/>
      <c r="B132" s="9"/>
      <c r="C132" s="59" t="s">
        <v>1119</v>
      </c>
      <c r="D132" s="1"/>
      <c r="E132" s="16" t="s">
        <v>1120</v>
      </c>
      <c r="F132" s="61">
        <f>F133</f>
        <v>325</v>
      </c>
      <c r="G132" s="451">
        <f t="shared" si="51"/>
        <v>325</v>
      </c>
      <c r="H132" s="141">
        <f t="shared" si="51"/>
        <v>0</v>
      </c>
      <c r="I132" s="461">
        <f t="shared" si="51"/>
        <v>0</v>
      </c>
      <c r="J132" s="89">
        <f t="shared" si="51"/>
        <v>0</v>
      </c>
      <c r="K132" s="93">
        <f t="shared" si="51"/>
        <v>0</v>
      </c>
      <c r="L132" s="471">
        <f t="shared" si="51"/>
        <v>0</v>
      </c>
      <c r="M132" s="481">
        <f t="shared" si="51"/>
        <v>0</v>
      </c>
      <c r="N132" s="491">
        <f t="shared" si="51"/>
        <v>0</v>
      </c>
    </row>
    <row r="133" spans="1:14" ht="38.25">
      <c r="A133" s="63"/>
      <c r="B133" s="9"/>
      <c r="C133" s="59"/>
      <c r="D133" s="1" t="s">
        <v>227</v>
      </c>
      <c r="E133" s="16" t="s">
        <v>331</v>
      </c>
      <c r="F133" s="61">
        <f>F134</f>
        <v>325</v>
      </c>
      <c r="G133" s="451">
        <f t="shared" si="51"/>
        <v>325</v>
      </c>
      <c r="H133" s="141">
        <f t="shared" si="51"/>
        <v>0</v>
      </c>
      <c r="I133" s="461">
        <f t="shared" si="51"/>
        <v>0</v>
      </c>
      <c r="J133" s="89">
        <f t="shared" si="51"/>
        <v>0</v>
      </c>
      <c r="K133" s="93">
        <f t="shared" si="51"/>
        <v>0</v>
      </c>
      <c r="L133" s="471">
        <f t="shared" si="51"/>
        <v>0</v>
      </c>
      <c r="M133" s="481">
        <f t="shared" si="51"/>
        <v>0</v>
      </c>
      <c r="N133" s="491">
        <f t="shared" si="51"/>
        <v>0</v>
      </c>
    </row>
    <row r="134" spans="1:14" ht="12.75">
      <c r="A134" s="63"/>
      <c r="B134" s="9"/>
      <c r="C134" s="59"/>
      <c r="D134" s="1" t="s">
        <v>121</v>
      </c>
      <c r="E134" s="16" t="s">
        <v>229</v>
      </c>
      <c r="F134" s="61">
        <f>G134+H134+I134+J134+K134+L134+M134+N134</f>
        <v>325</v>
      </c>
      <c r="G134" s="452">
        <v>325</v>
      </c>
      <c r="H134" s="142"/>
      <c r="I134" s="462"/>
      <c r="J134" s="90"/>
      <c r="K134" s="94"/>
      <c r="L134" s="474"/>
      <c r="M134" s="482"/>
      <c r="N134" s="494"/>
    </row>
    <row r="135" spans="1:14" ht="12.75">
      <c r="A135" s="63"/>
      <c r="B135" s="9" t="s">
        <v>238</v>
      </c>
      <c r="C135" s="1"/>
      <c r="D135" s="1"/>
      <c r="E135" s="16" t="s">
        <v>239</v>
      </c>
      <c r="F135" s="61">
        <f t="shared" si="49"/>
        <v>4393.620999999999</v>
      </c>
      <c r="G135" s="452">
        <f aca="true" t="shared" si="52" ref="G135:N135">G136</f>
        <v>293.9</v>
      </c>
      <c r="H135" s="142">
        <f t="shared" si="52"/>
        <v>4070</v>
      </c>
      <c r="I135" s="462">
        <f t="shared" si="52"/>
        <v>0</v>
      </c>
      <c r="J135" s="90">
        <f t="shared" si="52"/>
        <v>0</v>
      </c>
      <c r="K135" s="94">
        <f t="shared" si="52"/>
        <v>0</v>
      </c>
      <c r="L135" s="474">
        <f t="shared" si="52"/>
        <v>0</v>
      </c>
      <c r="M135" s="482">
        <f t="shared" si="52"/>
        <v>0</v>
      </c>
      <c r="N135" s="494">
        <f t="shared" si="52"/>
        <v>29.721</v>
      </c>
    </row>
    <row r="136" spans="1:14" ht="25.5">
      <c r="A136" s="63"/>
      <c r="B136" s="9" t="s">
        <v>123</v>
      </c>
      <c r="C136" s="1"/>
      <c r="D136" s="1"/>
      <c r="E136" s="16" t="s">
        <v>240</v>
      </c>
      <c r="F136" s="61">
        <f>F137+F142</f>
        <v>4393.621</v>
      </c>
      <c r="G136" s="451">
        <f aca="true" t="shared" si="53" ref="G136:N136">G137+G142</f>
        <v>293.9</v>
      </c>
      <c r="H136" s="141">
        <f t="shared" si="53"/>
        <v>4070</v>
      </c>
      <c r="I136" s="461">
        <f t="shared" si="53"/>
        <v>0</v>
      </c>
      <c r="J136" s="89">
        <f t="shared" si="53"/>
        <v>0</v>
      </c>
      <c r="K136" s="93">
        <f t="shared" si="53"/>
        <v>0</v>
      </c>
      <c r="L136" s="471">
        <f t="shared" si="53"/>
        <v>0</v>
      </c>
      <c r="M136" s="481">
        <f t="shared" si="53"/>
        <v>0</v>
      </c>
      <c r="N136" s="491">
        <f t="shared" si="53"/>
        <v>29.721</v>
      </c>
    </row>
    <row r="137" spans="1:14" ht="25.5">
      <c r="A137" s="63"/>
      <c r="B137" s="9"/>
      <c r="C137" s="1" t="s">
        <v>332</v>
      </c>
      <c r="D137" s="1"/>
      <c r="E137" s="16" t="s">
        <v>335</v>
      </c>
      <c r="F137" s="61">
        <f>F138</f>
        <v>323.621</v>
      </c>
      <c r="G137" s="451">
        <f aca="true" t="shared" si="54" ref="G137:N140">G138</f>
        <v>293.9</v>
      </c>
      <c r="H137" s="141">
        <f t="shared" si="54"/>
        <v>0</v>
      </c>
      <c r="I137" s="461">
        <f t="shared" si="54"/>
        <v>0</v>
      </c>
      <c r="J137" s="89">
        <f t="shared" si="54"/>
        <v>0</v>
      </c>
      <c r="K137" s="93">
        <f t="shared" si="54"/>
        <v>0</v>
      </c>
      <c r="L137" s="471">
        <f t="shared" si="54"/>
        <v>0</v>
      </c>
      <c r="M137" s="481">
        <f t="shared" si="54"/>
        <v>0</v>
      </c>
      <c r="N137" s="491">
        <f t="shared" si="54"/>
        <v>29.721</v>
      </c>
    </row>
    <row r="138" spans="1:14" ht="12.75">
      <c r="A138" s="63"/>
      <c r="B138" s="9"/>
      <c r="C138" s="1" t="s">
        <v>333</v>
      </c>
      <c r="D138" s="1"/>
      <c r="E138" s="16" t="s">
        <v>114</v>
      </c>
      <c r="F138" s="61">
        <f>F139</f>
        <v>323.621</v>
      </c>
      <c r="G138" s="451">
        <f t="shared" si="54"/>
        <v>293.9</v>
      </c>
      <c r="H138" s="141">
        <f t="shared" si="54"/>
        <v>0</v>
      </c>
      <c r="I138" s="461">
        <f t="shared" si="54"/>
        <v>0</v>
      </c>
      <c r="J138" s="89">
        <f t="shared" si="54"/>
        <v>0</v>
      </c>
      <c r="K138" s="93">
        <f t="shared" si="54"/>
        <v>0</v>
      </c>
      <c r="L138" s="471">
        <f t="shared" si="54"/>
        <v>0</v>
      </c>
      <c r="M138" s="481">
        <f t="shared" si="54"/>
        <v>0</v>
      </c>
      <c r="N138" s="491">
        <f t="shared" si="54"/>
        <v>29.721</v>
      </c>
    </row>
    <row r="139" spans="1:14" ht="12.75">
      <c r="A139" s="63"/>
      <c r="B139" s="9"/>
      <c r="C139" s="1" t="s">
        <v>334</v>
      </c>
      <c r="D139" s="1"/>
      <c r="E139" s="16" t="s">
        <v>115</v>
      </c>
      <c r="F139" s="61">
        <f>F140</f>
        <v>323.621</v>
      </c>
      <c r="G139" s="451">
        <f t="shared" si="54"/>
        <v>293.9</v>
      </c>
      <c r="H139" s="141">
        <f t="shared" si="54"/>
        <v>0</v>
      </c>
      <c r="I139" s="461">
        <f t="shared" si="54"/>
        <v>0</v>
      </c>
      <c r="J139" s="89">
        <f t="shared" si="54"/>
        <v>0</v>
      </c>
      <c r="K139" s="93">
        <f t="shared" si="54"/>
        <v>0</v>
      </c>
      <c r="L139" s="471">
        <f t="shared" si="54"/>
        <v>0</v>
      </c>
      <c r="M139" s="481">
        <f t="shared" si="54"/>
        <v>0</v>
      </c>
      <c r="N139" s="491">
        <f t="shared" si="54"/>
        <v>29.721</v>
      </c>
    </row>
    <row r="140" spans="1:14" ht="12.75">
      <c r="A140" s="63"/>
      <c r="B140" s="9"/>
      <c r="C140" s="1"/>
      <c r="D140" s="1" t="s">
        <v>210</v>
      </c>
      <c r="E140" s="16" t="s">
        <v>211</v>
      </c>
      <c r="F140" s="61">
        <f>F141</f>
        <v>323.621</v>
      </c>
      <c r="G140" s="451">
        <f t="shared" si="54"/>
        <v>293.9</v>
      </c>
      <c r="H140" s="141">
        <f t="shared" si="54"/>
        <v>0</v>
      </c>
      <c r="I140" s="461">
        <f t="shared" si="54"/>
        <v>0</v>
      </c>
      <c r="J140" s="89">
        <f t="shared" si="54"/>
        <v>0</v>
      </c>
      <c r="K140" s="93">
        <f t="shared" si="54"/>
        <v>0</v>
      </c>
      <c r="L140" s="471">
        <f t="shared" si="54"/>
        <v>0</v>
      </c>
      <c r="M140" s="481">
        <f t="shared" si="54"/>
        <v>0</v>
      </c>
      <c r="N140" s="491">
        <f t="shared" si="54"/>
        <v>29.721</v>
      </c>
    </row>
    <row r="141" spans="1:14" ht="12.75">
      <c r="A141" s="63"/>
      <c r="B141" s="9"/>
      <c r="C141" s="1"/>
      <c r="D141" s="1" t="s">
        <v>8</v>
      </c>
      <c r="E141" s="16" t="s">
        <v>216</v>
      </c>
      <c r="F141" s="61">
        <f aca="true" t="shared" si="55" ref="F141:F156">G141+H141+I141+J141+K141+L141+M141+N141</f>
        <v>323.621</v>
      </c>
      <c r="G141" s="452">
        <f>213.9-60+140</f>
        <v>293.9</v>
      </c>
      <c r="H141" s="142"/>
      <c r="I141" s="462"/>
      <c r="J141" s="90"/>
      <c r="K141" s="94"/>
      <c r="L141" s="474"/>
      <c r="M141" s="482"/>
      <c r="N141" s="494">
        <v>29.721</v>
      </c>
    </row>
    <row r="142" spans="1:14" ht="12.75">
      <c r="A142" s="63"/>
      <c r="B142" s="63"/>
      <c r="C142" s="1" t="s">
        <v>54</v>
      </c>
      <c r="D142" s="1"/>
      <c r="E142" s="16" t="s">
        <v>55</v>
      </c>
      <c r="F142" s="61">
        <f t="shared" si="55"/>
        <v>4070</v>
      </c>
      <c r="G142" s="452">
        <f aca="true" t="shared" si="56" ref="G142:N145">G143</f>
        <v>0</v>
      </c>
      <c r="H142" s="142">
        <f t="shared" si="56"/>
        <v>4070</v>
      </c>
      <c r="I142" s="462">
        <f t="shared" si="56"/>
        <v>0</v>
      </c>
      <c r="J142" s="90">
        <f t="shared" si="56"/>
        <v>0</v>
      </c>
      <c r="K142" s="94">
        <f t="shared" si="56"/>
        <v>0</v>
      </c>
      <c r="L142" s="474">
        <f t="shared" si="56"/>
        <v>0</v>
      </c>
      <c r="M142" s="482">
        <f t="shared" si="56"/>
        <v>0</v>
      </c>
      <c r="N142" s="494">
        <f t="shared" si="56"/>
        <v>0</v>
      </c>
    </row>
    <row r="143" spans="1:14" ht="12.75">
      <c r="A143" s="63"/>
      <c r="B143" s="63"/>
      <c r="C143" s="1" t="s">
        <v>56</v>
      </c>
      <c r="D143" s="1"/>
      <c r="E143" s="16" t="s">
        <v>57</v>
      </c>
      <c r="F143" s="61">
        <f t="shared" si="55"/>
        <v>4070</v>
      </c>
      <c r="G143" s="452">
        <f t="shared" si="56"/>
        <v>0</v>
      </c>
      <c r="H143" s="142">
        <f t="shared" si="56"/>
        <v>4070</v>
      </c>
      <c r="I143" s="462">
        <f t="shared" si="56"/>
        <v>0</v>
      </c>
      <c r="J143" s="90">
        <f t="shared" si="56"/>
        <v>0</v>
      </c>
      <c r="K143" s="94">
        <f t="shared" si="56"/>
        <v>0</v>
      </c>
      <c r="L143" s="474">
        <f t="shared" si="56"/>
        <v>0</v>
      </c>
      <c r="M143" s="482">
        <f t="shared" si="56"/>
        <v>0</v>
      </c>
      <c r="N143" s="494">
        <f t="shared" si="56"/>
        <v>0</v>
      </c>
    </row>
    <row r="144" spans="1:14" ht="25.5">
      <c r="A144" s="63"/>
      <c r="B144" s="63"/>
      <c r="C144" s="59" t="s">
        <v>287</v>
      </c>
      <c r="D144" s="1"/>
      <c r="E144" s="16" t="s">
        <v>185</v>
      </c>
      <c r="F144" s="61">
        <f t="shared" si="55"/>
        <v>4070</v>
      </c>
      <c r="G144" s="452">
        <f t="shared" si="56"/>
        <v>0</v>
      </c>
      <c r="H144" s="142">
        <f t="shared" si="56"/>
        <v>4070</v>
      </c>
      <c r="I144" s="462">
        <f t="shared" si="56"/>
        <v>0</v>
      </c>
      <c r="J144" s="90">
        <f t="shared" si="56"/>
        <v>0</v>
      </c>
      <c r="K144" s="94">
        <f t="shared" si="56"/>
        <v>0</v>
      </c>
      <c r="L144" s="474">
        <f t="shared" si="56"/>
        <v>0</v>
      </c>
      <c r="M144" s="482">
        <f t="shared" si="56"/>
        <v>0</v>
      </c>
      <c r="N144" s="494">
        <f t="shared" si="56"/>
        <v>0</v>
      </c>
    </row>
    <row r="145" spans="1:14" ht="12.75">
      <c r="A145" s="63"/>
      <c r="B145" s="63"/>
      <c r="C145" s="59"/>
      <c r="D145" s="1" t="s">
        <v>210</v>
      </c>
      <c r="E145" s="16" t="s">
        <v>211</v>
      </c>
      <c r="F145" s="61">
        <f t="shared" si="55"/>
        <v>4070</v>
      </c>
      <c r="G145" s="452">
        <f t="shared" si="56"/>
        <v>0</v>
      </c>
      <c r="H145" s="142">
        <f t="shared" si="56"/>
        <v>4070</v>
      </c>
      <c r="I145" s="462">
        <f t="shared" si="56"/>
        <v>0</v>
      </c>
      <c r="J145" s="90">
        <f t="shared" si="56"/>
        <v>0</v>
      </c>
      <c r="K145" s="94">
        <f t="shared" si="56"/>
        <v>0</v>
      </c>
      <c r="L145" s="474">
        <f t="shared" si="56"/>
        <v>0</v>
      </c>
      <c r="M145" s="482">
        <f t="shared" si="56"/>
        <v>0</v>
      </c>
      <c r="N145" s="494">
        <f t="shared" si="56"/>
        <v>0</v>
      </c>
    </row>
    <row r="146" spans="1:14" ht="12.75">
      <c r="A146" s="63"/>
      <c r="B146" s="63"/>
      <c r="C146" s="59"/>
      <c r="D146" s="1" t="s">
        <v>8</v>
      </c>
      <c r="E146" s="16" t="s">
        <v>216</v>
      </c>
      <c r="F146" s="61">
        <f>G146+H146+I146+J146+K146+L146+M146+N146</f>
        <v>4070</v>
      </c>
      <c r="G146" s="452"/>
      <c r="H146" s="142">
        <f>130+3880+60</f>
        <v>4070</v>
      </c>
      <c r="I146" s="462"/>
      <c r="J146" s="90"/>
      <c r="K146" s="94"/>
      <c r="L146" s="474"/>
      <c r="M146" s="482"/>
      <c r="N146" s="494"/>
    </row>
    <row r="147" spans="1:14" ht="12.75">
      <c r="A147" s="63"/>
      <c r="B147" s="9" t="s">
        <v>41</v>
      </c>
      <c r="C147" s="33"/>
      <c r="D147" s="33"/>
      <c r="E147" s="16" t="s">
        <v>42</v>
      </c>
      <c r="F147" s="61">
        <f>F148</f>
        <v>2087.7</v>
      </c>
      <c r="G147" s="451">
        <f aca="true" t="shared" si="57" ref="G147:N149">G148</f>
        <v>0</v>
      </c>
      <c r="H147" s="141">
        <f t="shared" si="57"/>
        <v>0</v>
      </c>
      <c r="I147" s="461">
        <f t="shared" si="57"/>
        <v>0</v>
      </c>
      <c r="J147" s="89">
        <f t="shared" si="57"/>
        <v>0</v>
      </c>
      <c r="K147" s="93">
        <f t="shared" si="57"/>
        <v>0</v>
      </c>
      <c r="L147" s="471">
        <f t="shared" si="57"/>
        <v>1951.7</v>
      </c>
      <c r="M147" s="481">
        <f t="shared" si="57"/>
        <v>136</v>
      </c>
      <c r="N147" s="491">
        <f t="shared" si="57"/>
        <v>0</v>
      </c>
    </row>
    <row r="148" spans="1:14" ht="12.75">
      <c r="A148" s="63"/>
      <c r="B148" s="1" t="s">
        <v>6</v>
      </c>
      <c r="C148" s="1"/>
      <c r="D148" s="1"/>
      <c r="E148" s="16" t="s">
        <v>43</v>
      </c>
      <c r="F148" s="61">
        <f>F149</f>
        <v>2087.7</v>
      </c>
      <c r="G148" s="451">
        <f t="shared" si="57"/>
        <v>0</v>
      </c>
      <c r="H148" s="141">
        <f t="shared" si="57"/>
        <v>0</v>
      </c>
      <c r="I148" s="461">
        <f t="shared" si="57"/>
        <v>0</v>
      </c>
      <c r="J148" s="89">
        <f t="shared" si="57"/>
        <v>0</v>
      </c>
      <c r="K148" s="93">
        <f t="shared" si="57"/>
        <v>0</v>
      </c>
      <c r="L148" s="471">
        <f t="shared" si="57"/>
        <v>1951.7</v>
      </c>
      <c r="M148" s="481">
        <f t="shared" si="57"/>
        <v>136</v>
      </c>
      <c r="N148" s="491">
        <f t="shared" si="57"/>
        <v>0</v>
      </c>
    </row>
    <row r="149" spans="1:14" ht="12.75">
      <c r="A149" s="63"/>
      <c r="B149" s="63"/>
      <c r="C149" s="1" t="s">
        <v>37</v>
      </c>
      <c r="D149" s="1"/>
      <c r="E149" s="16" t="s">
        <v>38</v>
      </c>
      <c r="F149" s="61">
        <f>F150</f>
        <v>2087.7</v>
      </c>
      <c r="G149" s="61">
        <f t="shared" si="57"/>
        <v>0</v>
      </c>
      <c r="H149" s="61">
        <f t="shared" si="57"/>
        <v>0</v>
      </c>
      <c r="I149" s="61">
        <f t="shared" si="57"/>
        <v>0</v>
      </c>
      <c r="J149" s="61">
        <f t="shared" si="57"/>
        <v>0</v>
      </c>
      <c r="K149" s="61">
        <f t="shared" si="57"/>
        <v>0</v>
      </c>
      <c r="L149" s="61">
        <f t="shared" si="57"/>
        <v>1951.7</v>
      </c>
      <c r="M149" s="61">
        <f t="shared" si="57"/>
        <v>136</v>
      </c>
      <c r="N149" s="61">
        <f t="shared" si="57"/>
        <v>0</v>
      </c>
    </row>
    <row r="150" spans="1:14" ht="25.5">
      <c r="A150" s="63"/>
      <c r="B150" s="63"/>
      <c r="C150" s="1" t="s">
        <v>209</v>
      </c>
      <c r="D150" s="1"/>
      <c r="E150" s="49" t="s">
        <v>3</v>
      </c>
      <c r="F150" s="61">
        <f>F151+F154</f>
        <v>2087.7</v>
      </c>
      <c r="G150" s="61">
        <f aca="true" t="shared" si="58" ref="G150:N150">G151+G154</f>
        <v>0</v>
      </c>
      <c r="H150" s="61">
        <f t="shared" si="58"/>
        <v>0</v>
      </c>
      <c r="I150" s="61">
        <f t="shared" si="58"/>
        <v>0</v>
      </c>
      <c r="J150" s="61">
        <f t="shared" si="58"/>
        <v>0</v>
      </c>
      <c r="K150" s="61">
        <f t="shared" si="58"/>
        <v>0</v>
      </c>
      <c r="L150" s="61">
        <f t="shared" si="58"/>
        <v>1951.7</v>
      </c>
      <c r="M150" s="61">
        <f t="shared" si="58"/>
        <v>136</v>
      </c>
      <c r="N150" s="61">
        <f t="shared" si="58"/>
        <v>0</v>
      </c>
    </row>
    <row r="151" spans="1:14" ht="12.75">
      <c r="A151" s="63"/>
      <c r="B151" s="63"/>
      <c r="C151" s="59"/>
      <c r="D151" s="1"/>
      <c r="E151" s="16" t="s">
        <v>391</v>
      </c>
      <c r="F151" s="61">
        <f>F152</f>
        <v>1877.7</v>
      </c>
      <c r="G151" s="451">
        <f>G152</f>
        <v>0</v>
      </c>
      <c r="H151" s="141">
        <f aca="true" t="shared" si="59" ref="H151:N155">H152</f>
        <v>0</v>
      </c>
      <c r="I151" s="461">
        <f t="shared" si="59"/>
        <v>0</v>
      </c>
      <c r="J151" s="89">
        <f t="shared" si="59"/>
        <v>0</v>
      </c>
      <c r="K151" s="93">
        <f t="shared" si="59"/>
        <v>0</v>
      </c>
      <c r="L151" s="471">
        <f t="shared" si="59"/>
        <v>1877.7</v>
      </c>
      <c r="M151" s="481">
        <f t="shared" si="59"/>
        <v>0</v>
      </c>
      <c r="N151" s="491">
        <f t="shared" si="59"/>
        <v>0</v>
      </c>
    </row>
    <row r="152" spans="1:14" ht="12.75">
      <c r="A152" s="63"/>
      <c r="B152" s="63"/>
      <c r="C152" s="59"/>
      <c r="D152" s="1" t="s">
        <v>71</v>
      </c>
      <c r="E152" s="2" t="s">
        <v>38</v>
      </c>
      <c r="F152" s="61">
        <f>F153</f>
        <v>1877.7</v>
      </c>
      <c r="G152" s="451">
        <f>G153</f>
        <v>0</v>
      </c>
      <c r="H152" s="141">
        <f t="shared" si="59"/>
        <v>0</v>
      </c>
      <c r="I152" s="461">
        <f t="shared" si="59"/>
        <v>0</v>
      </c>
      <c r="J152" s="89">
        <f t="shared" si="59"/>
        <v>0</v>
      </c>
      <c r="K152" s="93">
        <f t="shared" si="59"/>
        <v>0</v>
      </c>
      <c r="L152" s="471">
        <f t="shared" si="59"/>
        <v>1877.7</v>
      </c>
      <c r="M152" s="481">
        <f t="shared" si="59"/>
        <v>0</v>
      </c>
      <c r="N152" s="491">
        <f t="shared" si="59"/>
        <v>0</v>
      </c>
    </row>
    <row r="153" spans="1:14" ht="12.75">
      <c r="A153" s="63"/>
      <c r="B153" s="63"/>
      <c r="C153" s="59"/>
      <c r="D153" s="1" t="s">
        <v>120</v>
      </c>
      <c r="E153" s="2" t="s">
        <v>100</v>
      </c>
      <c r="F153" s="61">
        <f t="shared" si="55"/>
        <v>1877.7</v>
      </c>
      <c r="G153" s="452"/>
      <c r="H153" s="142"/>
      <c r="I153" s="462"/>
      <c r="J153" s="90"/>
      <c r="K153" s="94"/>
      <c r="L153" s="474">
        <v>1877.7</v>
      </c>
      <c r="M153" s="482"/>
      <c r="N153" s="494"/>
    </row>
    <row r="154" spans="1:14" ht="12.75">
      <c r="A154" s="63"/>
      <c r="B154" s="63"/>
      <c r="C154" s="59" t="s">
        <v>288</v>
      </c>
      <c r="D154" s="1"/>
      <c r="E154" s="16" t="s">
        <v>166</v>
      </c>
      <c r="F154" s="61">
        <f t="shared" si="55"/>
        <v>210</v>
      </c>
      <c r="G154" s="452">
        <f>G155</f>
        <v>0</v>
      </c>
      <c r="H154" s="142">
        <f t="shared" si="59"/>
        <v>0</v>
      </c>
      <c r="I154" s="462">
        <f t="shared" si="59"/>
        <v>0</v>
      </c>
      <c r="J154" s="90">
        <f t="shared" si="59"/>
        <v>0</v>
      </c>
      <c r="K154" s="94">
        <f t="shared" si="59"/>
        <v>0</v>
      </c>
      <c r="L154" s="474">
        <f t="shared" si="59"/>
        <v>74</v>
      </c>
      <c r="M154" s="482">
        <f t="shared" si="59"/>
        <v>136</v>
      </c>
      <c r="N154" s="494">
        <f t="shared" si="59"/>
        <v>0</v>
      </c>
    </row>
    <row r="155" spans="1:14" ht="12.75">
      <c r="A155" s="63"/>
      <c r="B155" s="63"/>
      <c r="C155" s="59"/>
      <c r="D155" s="1" t="s">
        <v>71</v>
      </c>
      <c r="E155" s="2" t="s">
        <v>38</v>
      </c>
      <c r="F155" s="61">
        <f t="shared" si="55"/>
        <v>210</v>
      </c>
      <c r="G155" s="452">
        <f>G156</f>
        <v>0</v>
      </c>
      <c r="H155" s="142">
        <f t="shared" si="59"/>
        <v>0</v>
      </c>
      <c r="I155" s="462">
        <f t="shared" si="59"/>
        <v>0</v>
      </c>
      <c r="J155" s="90">
        <f t="shared" si="59"/>
        <v>0</v>
      </c>
      <c r="K155" s="94">
        <f t="shared" si="59"/>
        <v>0</v>
      </c>
      <c r="L155" s="474">
        <f t="shared" si="59"/>
        <v>74</v>
      </c>
      <c r="M155" s="482">
        <f t="shared" si="59"/>
        <v>136</v>
      </c>
      <c r="N155" s="494">
        <f t="shared" si="59"/>
        <v>0</v>
      </c>
    </row>
    <row r="156" spans="1:14" ht="12.75">
      <c r="A156" s="63"/>
      <c r="B156" s="63"/>
      <c r="C156" s="59"/>
      <c r="D156" s="1" t="s">
        <v>120</v>
      </c>
      <c r="E156" s="2" t="s">
        <v>100</v>
      </c>
      <c r="F156" s="61">
        <f t="shared" si="55"/>
        <v>210</v>
      </c>
      <c r="G156" s="452"/>
      <c r="H156" s="142"/>
      <c r="I156" s="462"/>
      <c r="J156" s="90"/>
      <c r="K156" s="94"/>
      <c r="L156" s="474">
        <v>74</v>
      </c>
      <c r="M156" s="482">
        <v>136</v>
      </c>
      <c r="N156" s="494"/>
    </row>
    <row r="157" spans="1:14" ht="12.75">
      <c r="A157" s="63"/>
      <c r="B157" s="83" t="s">
        <v>59</v>
      </c>
      <c r="C157" s="59"/>
      <c r="D157" s="1"/>
      <c r="E157" s="16" t="s">
        <v>267</v>
      </c>
      <c r="F157" s="61">
        <f aca="true" t="shared" si="60" ref="F157:N162">F158</f>
        <v>245.5</v>
      </c>
      <c r="G157" s="451">
        <f t="shared" si="60"/>
        <v>245.5</v>
      </c>
      <c r="H157" s="141">
        <f t="shared" si="60"/>
        <v>0</v>
      </c>
      <c r="I157" s="461">
        <f t="shared" si="60"/>
        <v>0</v>
      </c>
      <c r="J157" s="89">
        <f t="shared" si="60"/>
        <v>0</v>
      </c>
      <c r="K157" s="93">
        <f t="shared" si="60"/>
        <v>0</v>
      </c>
      <c r="L157" s="471">
        <f t="shared" si="60"/>
        <v>0</v>
      </c>
      <c r="M157" s="481">
        <f t="shared" si="60"/>
        <v>0</v>
      </c>
      <c r="N157" s="491">
        <f t="shared" si="60"/>
        <v>0</v>
      </c>
    </row>
    <row r="158" spans="1:14" ht="12.75">
      <c r="A158" s="63"/>
      <c r="B158" s="83" t="s">
        <v>320</v>
      </c>
      <c r="C158" s="59"/>
      <c r="D158" s="1"/>
      <c r="E158" s="2" t="s">
        <v>339</v>
      </c>
      <c r="F158" s="61">
        <f t="shared" si="60"/>
        <v>245.5</v>
      </c>
      <c r="G158" s="451">
        <f t="shared" si="60"/>
        <v>245.5</v>
      </c>
      <c r="H158" s="141">
        <f t="shared" si="60"/>
        <v>0</v>
      </c>
      <c r="I158" s="461">
        <f t="shared" si="60"/>
        <v>0</v>
      </c>
      <c r="J158" s="89">
        <f t="shared" si="60"/>
        <v>0</v>
      </c>
      <c r="K158" s="93">
        <f t="shared" si="60"/>
        <v>0</v>
      </c>
      <c r="L158" s="471">
        <f t="shared" si="60"/>
        <v>0</v>
      </c>
      <c r="M158" s="481">
        <f t="shared" si="60"/>
        <v>0</v>
      </c>
      <c r="N158" s="491">
        <f t="shared" si="60"/>
        <v>0</v>
      </c>
    </row>
    <row r="159" spans="1:14" ht="12.75">
      <c r="A159" s="63"/>
      <c r="B159" s="82"/>
      <c r="C159" s="59" t="s">
        <v>336</v>
      </c>
      <c r="D159" s="1"/>
      <c r="E159" s="2" t="s">
        <v>340</v>
      </c>
      <c r="F159" s="61">
        <f t="shared" si="60"/>
        <v>245.5</v>
      </c>
      <c r="G159" s="451">
        <f t="shared" si="60"/>
        <v>245.5</v>
      </c>
      <c r="H159" s="141">
        <f t="shared" si="60"/>
        <v>0</v>
      </c>
      <c r="I159" s="461">
        <f t="shared" si="60"/>
        <v>0</v>
      </c>
      <c r="J159" s="89">
        <f t="shared" si="60"/>
        <v>0</v>
      </c>
      <c r="K159" s="93">
        <f t="shared" si="60"/>
        <v>0</v>
      </c>
      <c r="L159" s="471">
        <f t="shared" si="60"/>
        <v>0</v>
      </c>
      <c r="M159" s="481">
        <f t="shared" si="60"/>
        <v>0</v>
      </c>
      <c r="N159" s="491">
        <f t="shared" si="60"/>
        <v>0</v>
      </c>
    </row>
    <row r="160" spans="1:14" ht="12.75">
      <c r="A160" s="63"/>
      <c r="B160" s="82"/>
      <c r="C160" s="59" t="s">
        <v>337</v>
      </c>
      <c r="D160" s="1"/>
      <c r="E160" s="2" t="s">
        <v>114</v>
      </c>
      <c r="F160" s="61">
        <f t="shared" si="60"/>
        <v>245.5</v>
      </c>
      <c r="G160" s="451">
        <f t="shared" si="60"/>
        <v>245.5</v>
      </c>
      <c r="H160" s="141">
        <f t="shared" si="60"/>
        <v>0</v>
      </c>
      <c r="I160" s="461">
        <f t="shared" si="60"/>
        <v>0</v>
      </c>
      <c r="J160" s="89">
        <f t="shared" si="60"/>
        <v>0</v>
      </c>
      <c r="K160" s="93">
        <f t="shared" si="60"/>
        <v>0</v>
      </c>
      <c r="L160" s="471">
        <f t="shared" si="60"/>
        <v>0</v>
      </c>
      <c r="M160" s="481">
        <f t="shared" si="60"/>
        <v>0</v>
      </c>
      <c r="N160" s="491">
        <f t="shared" si="60"/>
        <v>0</v>
      </c>
    </row>
    <row r="161" spans="1:14" ht="12.75">
      <c r="A161" s="63"/>
      <c r="B161" s="82"/>
      <c r="C161" s="59" t="s">
        <v>338</v>
      </c>
      <c r="D161" s="1"/>
      <c r="E161" s="2" t="s">
        <v>115</v>
      </c>
      <c r="F161" s="61">
        <f t="shared" si="60"/>
        <v>245.5</v>
      </c>
      <c r="G161" s="451">
        <f t="shared" si="60"/>
        <v>245.5</v>
      </c>
      <c r="H161" s="141">
        <f t="shared" si="60"/>
        <v>0</v>
      </c>
      <c r="I161" s="461">
        <f t="shared" si="60"/>
        <v>0</v>
      </c>
      <c r="J161" s="89">
        <f t="shared" si="60"/>
        <v>0</v>
      </c>
      <c r="K161" s="93">
        <f t="shared" si="60"/>
        <v>0</v>
      </c>
      <c r="L161" s="471">
        <f t="shared" si="60"/>
        <v>0</v>
      </c>
      <c r="M161" s="481">
        <f t="shared" si="60"/>
        <v>0</v>
      </c>
      <c r="N161" s="491">
        <f t="shared" si="60"/>
        <v>0</v>
      </c>
    </row>
    <row r="162" spans="1:14" ht="12.75">
      <c r="A162" s="63"/>
      <c r="B162" s="82"/>
      <c r="C162" s="59"/>
      <c r="D162" s="1" t="s">
        <v>210</v>
      </c>
      <c r="E162" s="16" t="s">
        <v>211</v>
      </c>
      <c r="F162" s="61">
        <f t="shared" si="60"/>
        <v>245.5</v>
      </c>
      <c r="G162" s="451">
        <f t="shared" si="60"/>
        <v>245.5</v>
      </c>
      <c r="H162" s="141">
        <f t="shared" si="60"/>
        <v>0</v>
      </c>
      <c r="I162" s="461">
        <f t="shared" si="60"/>
        <v>0</v>
      </c>
      <c r="J162" s="89">
        <f t="shared" si="60"/>
        <v>0</v>
      </c>
      <c r="K162" s="93">
        <f t="shared" si="60"/>
        <v>0</v>
      </c>
      <c r="L162" s="471">
        <f t="shared" si="60"/>
        <v>0</v>
      </c>
      <c r="M162" s="481">
        <f t="shared" si="60"/>
        <v>0</v>
      </c>
      <c r="N162" s="491">
        <f t="shared" si="60"/>
        <v>0</v>
      </c>
    </row>
    <row r="163" spans="1:14" ht="12.75">
      <c r="A163" s="63"/>
      <c r="B163" s="82"/>
      <c r="C163" s="59"/>
      <c r="D163" s="1" t="s">
        <v>8</v>
      </c>
      <c r="E163" s="16" t="s">
        <v>216</v>
      </c>
      <c r="F163" s="61">
        <f>G163+H163+I163+J163+K163+L163+M163+N163</f>
        <v>245.5</v>
      </c>
      <c r="G163" s="452">
        <v>245.5</v>
      </c>
      <c r="H163" s="142"/>
      <c r="I163" s="462"/>
      <c r="J163" s="90"/>
      <c r="K163" s="94"/>
      <c r="L163" s="474"/>
      <c r="M163" s="482"/>
      <c r="N163" s="494"/>
    </row>
    <row r="164" spans="1:14" ht="12.75">
      <c r="A164" s="63"/>
      <c r="B164" s="83" t="s">
        <v>63</v>
      </c>
      <c r="C164" s="59"/>
      <c r="D164" s="1"/>
      <c r="E164" s="16" t="s">
        <v>64</v>
      </c>
      <c r="F164" s="61">
        <f>F165</f>
        <v>145.8</v>
      </c>
      <c r="G164" s="451">
        <f aca="true" t="shared" si="61" ref="G164:N167">G165</f>
        <v>145.8</v>
      </c>
      <c r="H164" s="141">
        <f t="shared" si="61"/>
        <v>0</v>
      </c>
      <c r="I164" s="461">
        <f t="shared" si="61"/>
        <v>0</v>
      </c>
      <c r="J164" s="89">
        <f t="shared" si="61"/>
        <v>0</v>
      </c>
      <c r="K164" s="93">
        <f t="shared" si="61"/>
        <v>0</v>
      </c>
      <c r="L164" s="471">
        <f t="shared" si="61"/>
        <v>0</v>
      </c>
      <c r="M164" s="481">
        <f t="shared" si="61"/>
        <v>0</v>
      </c>
      <c r="N164" s="491">
        <f t="shared" si="61"/>
        <v>0</v>
      </c>
    </row>
    <row r="165" spans="1:14" ht="12.75">
      <c r="A165" s="63"/>
      <c r="B165" s="83" t="s">
        <v>321</v>
      </c>
      <c r="C165" s="59"/>
      <c r="D165" s="1"/>
      <c r="E165" s="16" t="s">
        <v>344</v>
      </c>
      <c r="F165" s="61">
        <f>F166</f>
        <v>145.8</v>
      </c>
      <c r="G165" s="451">
        <f t="shared" si="61"/>
        <v>145.8</v>
      </c>
      <c r="H165" s="141">
        <f t="shared" si="61"/>
        <v>0</v>
      </c>
      <c r="I165" s="461">
        <f t="shared" si="61"/>
        <v>0</v>
      </c>
      <c r="J165" s="89">
        <f t="shared" si="61"/>
        <v>0</v>
      </c>
      <c r="K165" s="93">
        <f t="shared" si="61"/>
        <v>0</v>
      </c>
      <c r="L165" s="471">
        <f t="shared" si="61"/>
        <v>0</v>
      </c>
      <c r="M165" s="481">
        <f t="shared" si="61"/>
        <v>0</v>
      </c>
      <c r="N165" s="491">
        <f t="shared" si="61"/>
        <v>0</v>
      </c>
    </row>
    <row r="166" spans="1:14" ht="12.75">
      <c r="A166" s="63"/>
      <c r="B166" s="82"/>
      <c r="C166" s="59" t="s">
        <v>341</v>
      </c>
      <c r="D166" s="1"/>
      <c r="E166" s="16" t="s">
        <v>343</v>
      </c>
      <c r="F166" s="61">
        <f>F167</f>
        <v>145.8</v>
      </c>
      <c r="G166" s="451">
        <f t="shared" si="61"/>
        <v>145.8</v>
      </c>
      <c r="H166" s="141">
        <f t="shared" si="61"/>
        <v>0</v>
      </c>
      <c r="I166" s="461">
        <f t="shared" si="61"/>
        <v>0</v>
      </c>
      <c r="J166" s="89">
        <f t="shared" si="61"/>
        <v>0</v>
      </c>
      <c r="K166" s="93">
        <f t="shared" si="61"/>
        <v>0</v>
      </c>
      <c r="L166" s="471">
        <f t="shared" si="61"/>
        <v>0</v>
      </c>
      <c r="M166" s="481">
        <f t="shared" si="61"/>
        <v>0</v>
      </c>
      <c r="N166" s="491">
        <f t="shared" si="61"/>
        <v>0</v>
      </c>
    </row>
    <row r="167" spans="1:14" ht="12.75">
      <c r="A167" s="63"/>
      <c r="B167" s="82"/>
      <c r="C167" s="59"/>
      <c r="D167" s="1" t="s">
        <v>225</v>
      </c>
      <c r="E167" s="16" t="s">
        <v>226</v>
      </c>
      <c r="F167" s="61">
        <f>F168</f>
        <v>145.8</v>
      </c>
      <c r="G167" s="451">
        <f t="shared" si="61"/>
        <v>145.8</v>
      </c>
      <c r="H167" s="141">
        <f t="shared" si="61"/>
        <v>0</v>
      </c>
      <c r="I167" s="461">
        <f t="shared" si="61"/>
        <v>0</v>
      </c>
      <c r="J167" s="89">
        <f t="shared" si="61"/>
        <v>0</v>
      </c>
      <c r="K167" s="93">
        <f t="shared" si="61"/>
        <v>0</v>
      </c>
      <c r="L167" s="471">
        <f t="shared" si="61"/>
        <v>0</v>
      </c>
      <c r="M167" s="481">
        <f t="shared" si="61"/>
        <v>0</v>
      </c>
      <c r="N167" s="491">
        <f t="shared" si="61"/>
        <v>0</v>
      </c>
    </row>
    <row r="168" spans="1:14" ht="12.75">
      <c r="A168" s="63"/>
      <c r="B168" s="82"/>
      <c r="C168" s="59"/>
      <c r="D168" s="1" t="s">
        <v>342</v>
      </c>
      <c r="E168" s="16" t="s">
        <v>345</v>
      </c>
      <c r="F168" s="61">
        <f>G168+H168+I168+J168+K168+L168+M168+N168</f>
        <v>145.8</v>
      </c>
      <c r="G168" s="452">
        <v>145.8</v>
      </c>
      <c r="H168" s="142"/>
      <c r="I168" s="462"/>
      <c r="J168" s="90"/>
      <c r="K168" s="94"/>
      <c r="L168" s="474"/>
      <c r="M168" s="482"/>
      <c r="N168" s="494"/>
    </row>
    <row r="169" spans="1:16" s="67" customFormat="1" ht="12.75">
      <c r="A169" s="69">
        <v>705</v>
      </c>
      <c r="B169" s="84"/>
      <c r="C169" s="58"/>
      <c r="D169" s="10"/>
      <c r="E169" s="15" t="s">
        <v>346</v>
      </c>
      <c r="F169" s="66">
        <f aca="true" t="shared" si="62" ref="F169:N175">F170</f>
        <v>42.7</v>
      </c>
      <c r="G169" s="450">
        <f t="shared" si="62"/>
        <v>42.7</v>
      </c>
      <c r="H169" s="140">
        <f t="shared" si="62"/>
        <v>0</v>
      </c>
      <c r="I169" s="460">
        <f t="shared" si="62"/>
        <v>0</v>
      </c>
      <c r="J169" s="88">
        <f t="shared" si="62"/>
        <v>0</v>
      </c>
      <c r="K169" s="92">
        <f t="shared" si="62"/>
        <v>0</v>
      </c>
      <c r="L169" s="470">
        <f t="shared" si="62"/>
        <v>0</v>
      </c>
      <c r="M169" s="480">
        <f t="shared" si="62"/>
        <v>0</v>
      </c>
      <c r="N169" s="490">
        <f t="shared" si="62"/>
        <v>0</v>
      </c>
      <c r="O169" s="4"/>
      <c r="P169" s="4"/>
    </row>
    <row r="170" spans="1:14" ht="12.75">
      <c r="A170" s="63"/>
      <c r="B170" s="83" t="s">
        <v>26</v>
      </c>
      <c r="C170" s="59"/>
      <c r="D170" s="1"/>
      <c r="E170" s="2" t="s">
        <v>27</v>
      </c>
      <c r="F170" s="61">
        <f t="shared" si="62"/>
        <v>42.7</v>
      </c>
      <c r="G170" s="451">
        <f t="shared" si="62"/>
        <v>42.7</v>
      </c>
      <c r="H170" s="141">
        <f t="shared" si="62"/>
        <v>0</v>
      </c>
      <c r="I170" s="461">
        <f t="shared" si="62"/>
        <v>0</v>
      </c>
      <c r="J170" s="89">
        <f t="shared" si="62"/>
        <v>0</v>
      </c>
      <c r="K170" s="93">
        <f t="shared" si="62"/>
        <v>0</v>
      </c>
      <c r="L170" s="471">
        <f t="shared" si="62"/>
        <v>0</v>
      </c>
      <c r="M170" s="481">
        <f t="shared" si="62"/>
        <v>0</v>
      </c>
      <c r="N170" s="491">
        <f t="shared" si="62"/>
        <v>0</v>
      </c>
    </row>
    <row r="171" spans="1:14" ht="25.5">
      <c r="A171" s="63"/>
      <c r="B171" s="83" t="s">
        <v>11</v>
      </c>
      <c r="C171" s="59"/>
      <c r="D171" s="1"/>
      <c r="E171" s="16" t="s">
        <v>347</v>
      </c>
      <c r="F171" s="61">
        <f t="shared" si="62"/>
        <v>42.7</v>
      </c>
      <c r="G171" s="451">
        <f t="shared" si="62"/>
        <v>42.7</v>
      </c>
      <c r="H171" s="141">
        <f t="shared" si="62"/>
        <v>0</v>
      </c>
      <c r="I171" s="461">
        <f t="shared" si="62"/>
        <v>0</v>
      </c>
      <c r="J171" s="89">
        <f t="shared" si="62"/>
        <v>0</v>
      </c>
      <c r="K171" s="93">
        <f t="shared" si="62"/>
        <v>0</v>
      </c>
      <c r="L171" s="471">
        <f t="shared" si="62"/>
        <v>0</v>
      </c>
      <c r="M171" s="481">
        <f t="shared" si="62"/>
        <v>0</v>
      </c>
      <c r="N171" s="491">
        <f t="shared" si="62"/>
        <v>0</v>
      </c>
    </row>
    <row r="172" spans="1:14" ht="25.5">
      <c r="A172" s="63"/>
      <c r="B172" s="82"/>
      <c r="C172" s="59" t="s">
        <v>28</v>
      </c>
      <c r="D172" s="1"/>
      <c r="E172" s="2" t="s">
        <v>29</v>
      </c>
      <c r="F172" s="61">
        <f t="shared" si="62"/>
        <v>42.7</v>
      </c>
      <c r="G172" s="451">
        <f t="shared" si="62"/>
        <v>42.7</v>
      </c>
      <c r="H172" s="141">
        <f t="shared" si="62"/>
        <v>0</v>
      </c>
      <c r="I172" s="461">
        <f t="shared" si="62"/>
        <v>0</v>
      </c>
      <c r="J172" s="89">
        <f t="shared" si="62"/>
        <v>0</v>
      </c>
      <c r="K172" s="93">
        <f t="shared" si="62"/>
        <v>0</v>
      </c>
      <c r="L172" s="471">
        <f t="shared" si="62"/>
        <v>0</v>
      </c>
      <c r="M172" s="481">
        <f t="shared" si="62"/>
        <v>0</v>
      </c>
      <c r="N172" s="491">
        <f t="shared" si="62"/>
        <v>0</v>
      </c>
    </row>
    <row r="173" spans="1:14" ht="12.75">
      <c r="A173" s="63"/>
      <c r="B173" s="82"/>
      <c r="C173" s="59" t="s">
        <v>30</v>
      </c>
      <c r="D173" s="1"/>
      <c r="E173" s="2" t="s">
        <v>31</v>
      </c>
      <c r="F173" s="61">
        <f t="shared" si="62"/>
        <v>42.7</v>
      </c>
      <c r="G173" s="451">
        <f t="shared" si="62"/>
        <v>42.7</v>
      </c>
      <c r="H173" s="141">
        <f t="shared" si="62"/>
        <v>0</v>
      </c>
      <c r="I173" s="461">
        <f t="shared" si="62"/>
        <v>0</v>
      </c>
      <c r="J173" s="89">
        <f t="shared" si="62"/>
        <v>0</v>
      </c>
      <c r="K173" s="93">
        <f t="shared" si="62"/>
        <v>0</v>
      </c>
      <c r="L173" s="471">
        <f t="shared" si="62"/>
        <v>0</v>
      </c>
      <c r="M173" s="481">
        <f t="shared" si="62"/>
        <v>0</v>
      </c>
      <c r="N173" s="491">
        <f t="shared" si="62"/>
        <v>0</v>
      </c>
    </row>
    <row r="174" spans="1:14" ht="12.75">
      <c r="A174" s="63"/>
      <c r="B174" s="82"/>
      <c r="C174" s="59" t="s">
        <v>32</v>
      </c>
      <c r="D174" s="1"/>
      <c r="E174" s="2" t="s">
        <v>33</v>
      </c>
      <c r="F174" s="61">
        <f t="shared" si="62"/>
        <v>42.7</v>
      </c>
      <c r="G174" s="451">
        <f t="shared" si="62"/>
        <v>42.7</v>
      </c>
      <c r="H174" s="141">
        <f t="shared" si="62"/>
        <v>0</v>
      </c>
      <c r="I174" s="461">
        <f t="shared" si="62"/>
        <v>0</v>
      </c>
      <c r="J174" s="89">
        <f t="shared" si="62"/>
        <v>0</v>
      </c>
      <c r="K174" s="93">
        <f t="shared" si="62"/>
        <v>0</v>
      </c>
      <c r="L174" s="471">
        <f t="shared" si="62"/>
        <v>0</v>
      </c>
      <c r="M174" s="481">
        <f t="shared" si="62"/>
        <v>0</v>
      </c>
      <c r="N174" s="491">
        <f t="shared" si="62"/>
        <v>0</v>
      </c>
    </row>
    <row r="175" spans="1:14" ht="38.25">
      <c r="A175" s="63"/>
      <c r="B175" s="82"/>
      <c r="C175" s="59"/>
      <c r="D175" s="1" t="s">
        <v>227</v>
      </c>
      <c r="E175" s="16" t="s">
        <v>331</v>
      </c>
      <c r="F175" s="61">
        <f t="shared" si="62"/>
        <v>42.7</v>
      </c>
      <c r="G175" s="451">
        <f t="shared" si="62"/>
        <v>42.7</v>
      </c>
      <c r="H175" s="141">
        <f t="shared" si="62"/>
        <v>0</v>
      </c>
      <c r="I175" s="461">
        <f t="shared" si="62"/>
        <v>0</v>
      </c>
      <c r="J175" s="89">
        <f t="shared" si="62"/>
        <v>0</v>
      </c>
      <c r="K175" s="93">
        <f t="shared" si="62"/>
        <v>0</v>
      </c>
      <c r="L175" s="471">
        <f t="shared" si="62"/>
        <v>0</v>
      </c>
      <c r="M175" s="481">
        <f t="shared" si="62"/>
        <v>0</v>
      </c>
      <c r="N175" s="491">
        <f t="shared" si="62"/>
        <v>0</v>
      </c>
    </row>
    <row r="176" spans="1:14" ht="12.75">
      <c r="A176" s="63"/>
      <c r="B176" s="82"/>
      <c r="C176" s="59"/>
      <c r="D176" s="1" t="s">
        <v>121</v>
      </c>
      <c r="E176" s="16" t="s">
        <v>229</v>
      </c>
      <c r="F176" s="61">
        <f>G176+H176+I176+J176+K176+L176+M176+N176</f>
        <v>42.7</v>
      </c>
      <c r="G176" s="452">
        <v>42.7</v>
      </c>
      <c r="H176" s="142"/>
      <c r="I176" s="462"/>
      <c r="J176" s="90"/>
      <c r="K176" s="94"/>
      <c r="L176" s="474"/>
      <c r="M176" s="482"/>
      <c r="N176" s="494"/>
    </row>
    <row r="177" spans="1:14" ht="25.5">
      <c r="A177" s="19" t="s">
        <v>136</v>
      </c>
      <c r="B177" s="19"/>
      <c r="C177" s="34"/>
      <c r="D177" s="34"/>
      <c r="E177" s="47" t="s">
        <v>217</v>
      </c>
      <c r="F177" s="66">
        <f>G177+H177+I177+J177+K177+L177+M177+N177</f>
        <v>51395.977</v>
      </c>
      <c r="G177" s="453">
        <f aca="true" t="shared" si="63" ref="G177:N177">G178+G197+G229+G306+G270+G283</f>
        <v>624.9</v>
      </c>
      <c r="H177" s="143">
        <f t="shared" si="63"/>
        <v>20177.7</v>
      </c>
      <c r="I177" s="463">
        <f t="shared" si="63"/>
        <v>-5648.486</v>
      </c>
      <c r="J177" s="91">
        <f t="shared" si="63"/>
        <v>0</v>
      </c>
      <c r="K177" s="95">
        <f t="shared" si="63"/>
        <v>10693.5</v>
      </c>
      <c r="L177" s="475">
        <f t="shared" si="63"/>
        <v>7392.762</v>
      </c>
      <c r="M177" s="483">
        <f t="shared" si="63"/>
        <v>18155.601</v>
      </c>
      <c r="N177" s="495">
        <f t="shared" si="63"/>
        <v>0</v>
      </c>
    </row>
    <row r="178" spans="1:14" ht="12.75">
      <c r="A178" s="35"/>
      <c r="B178" s="35" t="s">
        <v>34</v>
      </c>
      <c r="C178" s="36"/>
      <c r="D178" s="36"/>
      <c r="E178" s="16" t="s">
        <v>35</v>
      </c>
      <c r="F178" s="74">
        <f>F179+F185</f>
        <v>8186.6</v>
      </c>
      <c r="G178" s="451">
        <f aca="true" t="shared" si="64" ref="G178:N178">G179+G185</f>
        <v>624.9</v>
      </c>
      <c r="H178" s="141">
        <f t="shared" si="64"/>
        <v>0</v>
      </c>
      <c r="I178" s="461">
        <f t="shared" si="64"/>
        <v>0</v>
      </c>
      <c r="J178" s="89">
        <f t="shared" si="64"/>
        <v>0</v>
      </c>
      <c r="K178" s="93">
        <f t="shared" si="64"/>
        <v>7558.2</v>
      </c>
      <c r="L178" s="471">
        <f t="shared" si="64"/>
        <v>0</v>
      </c>
      <c r="M178" s="481">
        <f t="shared" si="64"/>
        <v>3.5</v>
      </c>
      <c r="N178" s="491">
        <f t="shared" si="64"/>
        <v>0</v>
      </c>
    </row>
    <row r="179" spans="1:14" ht="12.75">
      <c r="A179" s="35"/>
      <c r="B179" s="35" t="s">
        <v>124</v>
      </c>
      <c r="C179" s="36"/>
      <c r="D179" s="36"/>
      <c r="E179" s="16" t="s">
        <v>244</v>
      </c>
      <c r="F179" s="74">
        <f>F180</f>
        <v>7500</v>
      </c>
      <c r="G179" s="451">
        <f aca="true" t="shared" si="65" ref="G179:N183">G180</f>
        <v>0</v>
      </c>
      <c r="H179" s="141">
        <f t="shared" si="65"/>
        <v>0</v>
      </c>
      <c r="I179" s="461">
        <f t="shared" si="65"/>
        <v>0</v>
      </c>
      <c r="J179" s="89">
        <f t="shared" si="65"/>
        <v>0</v>
      </c>
      <c r="K179" s="93">
        <f t="shared" si="65"/>
        <v>7500</v>
      </c>
      <c r="L179" s="471">
        <f t="shared" si="65"/>
        <v>0</v>
      </c>
      <c r="M179" s="481">
        <f t="shared" si="65"/>
        <v>0</v>
      </c>
      <c r="N179" s="491">
        <f t="shared" si="65"/>
        <v>0</v>
      </c>
    </row>
    <row r="180" spans="1:14" ht="12.75">
      <c r="A180" s="35"/>
      <c r="B180" s="35"/>
      <c r="C180" s="1" t="s">
        <v>37</v>
      </c>
      <c r="D180" s="1"/>
      <c r="E180" s="16" t="s">
        <v>38</v>
      </c>
      <c r="F180" s="74">
        <f>F181</f>
        <v>7500</v>
      </c>
      <c r="G180" s="451">
        <f t="shared" si="65"/>
        <v>0</v>
      </c>
      <c r="H180" s="141">
        <f t="shared" si="65"/>
        <v>0</v>
      </c>
      <c r="I180" s="461">
        <f t="shared" si="65"/>
        <v>0</v>
      </c>
      <c r="J180" s="89">
        <f t="shared" si="65"/>
        <v>0</v>
      </c>
      <c r="K180" s="93">
        <f t="shared" si="65"/>
        <v>7500</v>
      </c>
      <c r="L180" s="471">
        <f t="shared" si="65"/>
        <v>0</v>
      </c>
      <c r="M180" s="481">
        <f t="shared" si="65"/>
        <v>0</v>
      </c>
      <c r="N180" s="491">
        <f t="shared" si="65"/>
        <v>0</v>
      </c>
    </row>
    <row r="181" spans="1:14" ht="38.25">
      <c r="A181" s="35"/>
      <c r="B181" s="35"/>
      <c r="C181" s="59" t="s">
        <v>102</v>
      </c>
      <c r="D181" s="1"/>
      <c r="E181" s="16" t="s">
        <v>103</v>
      </c>
      <c r="F181" s="74">
        <f>F182</f>
        <v>7500</v>
      </c>
      <c r="G181" s="451">
        <f t="shared" si="65"/>
        <v>0</v>
      </c>
      <c r="H181" s="141">
        <f t="shared" si="65"/>
        <v>0</v>
      </c>
      <c r="I181" s="461">
        <f t="shared" si="65"/>
        <v>0</v>
      </c>
      <c r="J181" s="89">
        <f t="shared" si="65"/>
        <v>0</v>
      </c>
      <c r="K181" s="93">
        <f t="shared" si="65"/>
        <v>7500</v>
      </c>
      <c r="L181" s="471">
        <f t="shared" si="65"/>
        <v>0</v>
      </c>
      <c r="M181" s="481">
        <f t="shared" si="65"/>
        <v>0</v>
      </c>
      <c r="N181" s="491">
        <f t="shared" si="65"/>
        <v>0</v>
      </c>
    </row>
    <row r="182" spans="1:14" ht="25.5">
      <c r="A182" s="35"/>
      <c r="B182" s="35"/>
      <c r="C182" s="59" t="s">
        <v>1038</v>
      </c>
      <c r="D182" s="32"/>
      <c r="E182" s="126" t="s">
        <v>1039</v>
      </c>
      <c r="F182" s="74">
        <f>F183</f>
        <v>7500</v>
      </c>
      <c r="G182" s="451">
        <f t="shared" si="65"/>
        <v>0</v>
      </c>
      <c r="H182" s="141">
        <f t="shared" si="65"/>
        <v>0</v>
      </c>
      <c r="I182" s="461">
        <f t="shared" si="65"/>
        <v>0</v>
      </c>
      <c r="J182" s="89">
        <f t="shared" si="65"/>
        <v>0</v>
      </c>
      <c r="K182" s="93">
        <f t="shared" si="65"/>
        <v>7500</v>
      </c>
      <c r="L182" s="471">
        <f t="shared" si="65"/>
        <v>0</v>
      </c>
      <c r="M182" s="481">
        <f t="shared" si="65"/>
        <v>0</v>
      </c>
      <c r="N182" s="491">
        <f t="shared" si="65"/>
        <v>0</v>
      </c>
    </row>
    <row r="183" spans="1:14" ht="12.75">
      <c r="A183" s="35"/>
      <c r="B183" s="35"/>
      <c r="C183" s="405"/>
      <c r="D183" s="1" t="s">
        <v>212</v>
      </c>
      <c r="E183" s="16" t="s">
        <v>45</v>
      </c>
      <c r="F183" s="74">
        <f>F184</f>
        <v>7500</v>
      </c>
      <c r="G183" s="451">
        <f t="shared" si="65"/>
        <v>0</v>
      </c>
      <c r="H183" s="141">
        <f t="shared" si="65"/>
        <v>0</v>
      </c>
      <c r="I183" s="461">
        <f t="shared" si="65"/>
        <v>0</v>
      </c>
      <c r="J183" s="89">
        <f t="shared" si="65"/>
        <v>0</v>
      </c>
      <c r="K183" s="93">
        <f t="shared" si="65"/>
        <v>7500</v>
      </c>
      <c r="L183" s="471">
        <f t="shared" si="65"/>
        <v>0</v>
      </c>
      <c r="M183" s="481">
        <f t="shared" si="65"/>
        <v>0</v>
      </c>
      <c r="N183" s="491">
        <f t="shared" si="65"/>
        <v>0</v>
      </c>
    </row>
    <row r="184" spans="1:14" ht="25.5">
      <c r="A184" s="35"/>
      <c r="B184" s="35"/>
      <c r="C184" s="405"/>
      <c r="D184" s="1" t="s">
        <v>125</v>
      </c>
      <c r="E184" s="16" t="s">
        <v>290</v>
      </c>
      <c r="F184" s="61">
        <f>G184+H184+I184+J184+K184+L184+M184+N184</f>
        <v>7500</v>
      </c>
      <c r="G184" s="452"/>
      <c r="H184" s="142"/>
      <c r="I184" s="462"/>
      <c r="J184" s="90"/>
      <c r="K184" s="94">
        <v>7500</v>
      </c>
      <c r="L184" s="474"/>
      <c r="M184" s="482"/>
      <c r="N184" s="494"/>
    </row>
    <row r="185" spans="1:14" ht="12.75">
      <c r="A185" s="35"/>
      <c r="B185" s="35" t="s">
        <v>4</v>
      </c>
      <c r="C185" s="36"/>
      <c r="D185" s="36"/>
      <c r="E185" s="5" t="s">
        <v>36</v>
      </c>
      <c r="F185" s="74">
        <f>F186+F191</f>
        <v>686.6</v>
      </c>
      <c r="G185" s="451">
        <f aca="true" t="shared" si="66" ref="G185:N185">G186+G191</f>
        <v>624.9</v>
      </c>
      <c r="H185" s="141">
        <f t="shared" si="66"/>
        <v>0</v>
      </c>
      <c r="I185" s="461">
        <f t="shared" si="66"/>
        <v>0</v>
      </c>
      <c r="J185" s="89">
        <f t="shared" si="66"/>
        <v>0</v>
      </c>
      <c r="K185" s="93">
        <f t="shared" si="66"/>
        <v>58.2</v>
      </c>
      <c r="L185" s="471">
        <f t="shared" si="66"/>
        <v>0</v>
      </c>
      <c r="M185" s="481">
        <f t="shared" si="66"/>
        <v>3.5</v>
      </c>
      <c r="N185" s="491">
        <f t="shared" si="66"/>
        <v>0</v>
      </c>
    </row>
    <row r="186" spans="1:14" ht="12.75">
      <c r="A186" s="35"/>
      <c r="B186" s="35"/>
      <c r="C186" s="36" t="s">
        <v>91</v>
      </c>
      <c r="D186" s="36"/>
      <c r="E186" s="5" t="s">
        <v>92</v>
      </c>
      <c r="F186" s="74">
        <f>F187</f>
        <v>624.9</v>
      </c>
      <c r="G186" s="451">
        <f aca="true" t="shared" si="67" ref="G186:N189">G187</f>
        <v>624.9</v>
      </c>
      <c r="H186" s="141">
        <f t="shared" si="67"/>
        <v>0</v>
      </c>
      <c r="I186" s="461">
        <f t="shared" si="67"/>
        <v>0</v>
      </c>
      <c r="J186" s="89">
        <f t="shared" si="67"/>
        <v>0</v>
      </c>
      <c r="K186" s="93">
        <f t="shared" si="67"/>
        <v>0</v>
      </c>
      <c r="L186" s="471">
        <f t="shared" si="67"/>
        <v>0</v>
      </c>
      <c r="M186" s="481">
        <f t="shared" si="67"/>
        <v>0</v>
      </c>
      <c r="N186" s="491">
        <f t="shared" si="67"/>
        <v>0</v>
      </c>
    </row>
    <row r="187" spans="1:14" ht="12.75">
      <c r="A187" s="35"/>
      <c r="B187" s="35"/>
      <c r="C187" s="36" t="s">
        <v>365</v>
      </c>
      <c r="D187" s="36"/>
      <c r="E187" s="5" t="s">
        <v>114</v>
      </c>
      <c r="F187" s="74">
        <f>F188</f>
        <v>624.9</v>
      </c>
      <c r="G187" s="451">
        <f t="shared" si="67"/>
        <v>624.9</v>
      </c>
      <c r="H187" s="141">
        <f t="shared" si="67"/>
        <v>0</v>
      </c>
      <c r="I187" s="461">
        <f t="shared" si="67"/>
        <v>0</v>
      </c>
      <c r="J187" s="89">
        <f t="shared" si="67"/>
        <v>0</v>
      </c>
      <c r="K187" s="93">
        <f t="shared" si="67"/>
        <v>0</v>
      </c>
      <c r="L187" s="471">
        <f t="shared" si="67"/>
        <v>0</v>
      </c>
      <c r="M187" s="481">
        <f t="shared" si="67"/>
        <v>0</v>
      </c>
      <c r="N187" s="491">
        <f t="shared" si="67"/>
        <v>0</v>
      </c>
    </row>
    <row r="188" spans="1:14" ht="12.75">
      <c r="A188" s="35"/>
      <c r="B188" s="35"/>
      <c r="C188" s="36" t="s">
        <v>366</v>
      </c>
      <c r="D188" s="36"/>
      <c r="E188" s="5" t="s">
        <v>115</v>
      </c>
      <c r="F188" s="74">
        <f>F189</f>
        <v>624.9</v>
      </c>
      <c r="G188" s="451">
        <f t="shared" si="67"/>
        <v>624.9</v>
      </c>
      <c r="H188" s="141">
        <f t="shared" si="67"/>
        <v>0</v>
      </c>
      <c r="I188" s="461">
        <f t="shared" si="67"/>
        <v>0</v>
      </c>
      <c r="J188" s="89">
        <f t="shared" si="67"/>
        <v>0</v>
      </c>
      <c r="K188" s="93">
        <f t="shared" si="67"/>
        <v>0</v>
      </c>
      <c r="L188" s="471">
        <f t="shared" si="67"/>
        <v>0</v>
      </c>
      <c r="M188" s="481">
        <f t="shared" si="67"/>
        <v>0</v>
      </c>
      <c r="N188" s="491">
        <f t="shared" si="67"/>
        <v>0</v>
      </c>
    </row>
    <row r="189" spans="1:14" ht="12.75">
      <c r="A189" s="35"/>
      <c r="B189" s="35"/>
      <c r="C189" s="36"/>
      <c r="D189" s="1" t="s">
        <v>210</v>
      </c>
      <c r="E189" s="16" t="s">
        <v>211</v>
      </c>
      <c r="F189" s="74">
        <f>F190</f>
        <v>624.9</v>
      </c>
      <c r="G189" s="451">
        <f t="shared" si="67"/>
        <v>624.9</v>
      </c>
      <c r="H189" s="141">
        <f t="shared" si="67"/>
        <v>0</v>
      </c>
      <c r="I189" s="461">
        <f t="shared" si="67"/>
        <v>0</v>
      </c>
      <c r="J189" s="89">
        <f t="shared" si="67"/>
        <v>0</v>
      </c>
      <c r="K189" s="93">
        <f t="shared" si="67"/>
        <v>0</v>
      </c>
      <c r="L189" s="471">
        <f t="shared" si="67"/>
        <v>0</v>
      </c>
      <c r="M189" s="481">
        <f t="shared" si="67"/>
        <v>0</v>
      </c>
      <c r="N189" s="491">
        <f t="shared" si="67"/>
        <v>0</v>
      </c>
    </row>
    <row r="190" spans="1:14" ht="12.75">
      <c r="A190" s="35"/>
      <c r="B190" s="35"/>
      <c r="C190" s="36"/>
      <c r="D190" s="1" t="s">
        <v>8</v>
      </c>
      <c r="E190" s="16" t="s">
        <v>216</v>
      </c>
      <c r="F190" s="74">
        <f aca="true" t="shared" si="68" ref="F190:F197">G190+H190+I190+J190+K190+L190+M190+N190</f>
        <v>624.9</v>
      </c>
      <c r="G190" s="452">
        <f>500+124.9</f>
        <v>624.9</v>
      </c>
      <c r="H190" s="142"/>
      <c r="I190" s="462"/>
      <c r="J190" s="90"/>
      <c r="K190" s="94"/>
      <c r="L190" s="474"/>
      <c r="M190" s="482"/>
      <c r="N190" s="494"/>
    </row>
    <row r="191" spans="1:14" ht="12.75">
      <c r="A191" s="63"/>
      <c r="B191" s="63"/>
      <c r="C191" s="1" t="s">
        <v>37</v>
      </c>
      <c r="D191" s="1"/>
      <c r="E191" s="16" t="s">
        <v>38</v>
      </c>
      <c r="F191" s="74">
        <f t="shared" si="68"/>
        <v>61.7</v>
      </c>
      <c r="G191" s="452">
        <f aca="true" t="shared" si="69" ref="G191:N191">G192</f>
        <v>0</v>
      </c>
      <c r="H191" s="142">
        <f t="shared" si="69"/>
        <v>0</v>
      </c>
      <c r="I191" s="462">
        <f t="shared" si="69"/>
        <v>0</v>
      </c>
      <c r="J191" s="90">
        <f t="shared" si="69"/>
        <v>0</v>
      </c>
      <c r="K191" s="94">
        <f t="shared" si="69"/>
        <v>58.2</v>
      </c>
      <c r="L191" s="474">
        <f t="shared" si="69"/>
        <v>0</v>
      </c>
      <c r="M191" s="482">
        <f t="shared" si="69"/>
        <v>3.5</v>
      </c>
      <c r="N191" s="494">
        <f t="shared" si="69"/>
        <v>0</v>
      </c>
    </row>
    <row r="192" spans="1:14" ht="12.75">
      <c r="A192" s="63"/>
      <c r="B192" s="63"/>
      <c r="C192" s="1" t="s">
        <v>14</v>
      </c>
      <c r="D192" s="1"/>
      <c r="E192" s="16" t="s">
        <v>13</v>
      </c>
      <c r="F192" s="74">
        <f t="shared" si="68"/>
        <v>61.7</v>
      </c>
      <c r="G192" s="452">
        <f>G193+G195</f>
        <v>0</v>
      </c>
      <c r="H192" s="142">
        <f aca="true" t="shared" si="70" ref="H192:N192">H193+H195</f>
        <v>0</v>
      </c>
      <c r="I192" s="462">
        <f t="shared" si="70"/>
        <v>0</v>
      </c>
      <c r="J192" s="90">
        <f t="shared" si="70"/>
        <v>0</v>
      </c>
      <c r="K192" s="94">
        <f t="shared" si="70"/>
        <v>58.2</v>
      </c>
      <c r="L192" s="474">
        <f t="shared" si="70"/>
        <v>0</v>
      </c>
      <c r="M192" s="482">
        <f t="shared" si="70"/>
        <v>3.5</v>
      </c>
      <c r="N192" s="494">
        <f t="shared" si="70"/>
        <v>0</v>
      </c>
    </row>
    <row r="193" spans="1:14" ht="26.25" customHeight="1">
      <c r="A193" s="63"/>
      <c r="B193" s="63"/>
      <c r="C193" s="1"/>
      <c r="D193" s="1" t="s">
        <v>227</v>
      </c>
      <c r="E193" s="16" t="s">
        <v>1213</v>
      </c>
      <c r="F193" s="74">
        <f t="shared" si="68"/>
        <v>-37.5</v>
      </c>
      <c r="G193" s="452">
        <f>G194</f>
        <v>0</v>
      </c>
      <c r="H193" s="142">
        <f aca="true" t="shared" si="71" ref="H193:N193">H194</f>
        <v>0</v>
      </c>
      <c r="I193" s="462">
        <f t="shared" si="71"/>
        <v>0</v>
      </c>
      <c r="J193" s="90">
        <f t="shared" si="71"/>
        <v>0</v>
      </c>
      <c r="K193" s="94">
        <f t="shared" si="71"/>
        <v>58.2</v>
      </c>
      <c r="L193" s="474">
        <f t="shared" si="71"/>
        <v>0</v>
      </c>
      <c r="M193" s="482">
        <f t="shared" si="71"/>
        <v>3.5</v>
      </c>
      <c r="N193" s="494">
        <f t="shared" si="71"/>
        <v>-99.2</v>
      </c>
    </row>
    <row r="194" spans="1:14" ht="12.75">
      <c r="A194" s="63"/>
      <c r="B194" s="63"/>
      <c r="C194" s="1"/>
      <c r="D194" s="1" t="s">
        <v>241</v>
      </c>
      <c r="E194" s="16" t="s">
        <v>219</v>
      </c>
      <c r="F194" s="74">
        <f t="shared" si="68"/>
        <v>-37.5</v>
      </c>
      <c r="G194" s="452"/>
      <c r="H194" s="142"/>
      <c r="I194" s="462"/>
      <c r="J194" s="90"/>
      <c r="K194" s="94">
        <f>13.2+45</f>
        <v>58.2</v>
      </c>
      <c r="L194" s="474"/>
      <c r="M194" s="482">
        <v>3.5</v>
      </c>
      <c r="N194" s="494">
        <v>-99.2</v>
      </c>
    </row>
    <row r="195" spans="1:14" ht="12.75">
      <c r="A195" s="63"/>
      <c r="B195" s="63"/>
      <c r="C195" s="59"/>
      <c r="D195" s="1" t="s">
        <v>210</v>
      </c>
      <c r="E195" s="16" t="s">
        <v>211</v>
      </c>
      <c r="F195" s="74">
        <f t="shared" si="68"/>
        <v>99.2</v>
      </c>
      <c r="G195" s="452">
        <f>G196</f>
        <v>0</v>
      </c>
      <c r="H195" s="142">
        <f aca="true" t="shared" si="72" ref="H195:N195">H196</f>
        <v>0</v>
      </c>
      <c r="I195" s="462">
        <f t="shared" si="72"/>
        <v>0</v>
      </c>
      <c r="J195" s="90">
        <f t="shared" si="72"/>
        <v>0</v>
      </c>
      <c r="K195" s="94">
        <f t="shared" si="72"/>
        <v>0</v>
      </c>
      <c r="L195" s="474">
        <f t="shared" si="72"/>
        <v>0</v>
      </c>
      <c r="M195" s="482">
        <f t="shared" si="72"/>
        <v>0</v>
      </c>
      <c r="N195" s="494">
        <f t="shared" si="72"/>
        <v>99.2</v>
      </c>
    </row>
    <row r="196" spans="1:14" ht="12.75">
      <c r="A196" s="63"/>
      <c r="B196" s="63"/>
      <c r="C196" s="59"/>
      <c r="D196" s="1" t="s">
        <v>8</v>
      </c>
      <c r="E196" s="16" t="s">
        <v>216</v>
      </c>
      <c r="F196" s="74">
        <f t="shared" si="68"/>
        <v>99.2</v>
      </c>
      <c r="G196" s="452"/>
      <c r="H196" s="142"/>
      <c r="I196" s="462"/>
      <c r="J196" s="90"/>
      <c r="K196" s="94"/>
      <c r="L196" s="474"/>
      <c r="M196" s="482"/>
      <c r="N196" s="494">
        <v>99.2</v>
      </c>
    </row>
    <row r="197" spans="1:15" ht="12.75">
      <c r="A197" s="63"/>
      <c r="B197" s="35" t="s">
        <v>41</v>
      </c>
      <c r="C197" s="1"/>
      <c r="D197" s="1"/>
      <c r="E197" s="16" t="s">
        <v>42</v>
      </c>
      <c r="F197" s="74">
        <f t="shared" si="68"/>
        <v>4895.6900000000005</v>
      </c>
      <c r="G197" s="452">
        <f aca="true" t="shared" si="73" ref="G197:N197">G198</f>
        <v>0</v>
      </c>
      <c r="H197" s="142">
        <f t="shared" si="73"/>
        <v>0</v>
      </c>
      <c r="I197" s="462">
        <f t="shared" si="73"/>
        <v>0</v>
      </c>
      <c r="J197" s="90">
        <f t="shared" si="73"/>
        <v>0</v>
      </c>
      <c r="K197" s="94">
        <f t="shared" si="73"/>
        <v>1815.3000000000002</v>
      </c>
      <c r="L197" s="474">
        <f t="shared" si="73"/>
        <v>0</v>
      </c>
      <c r="M197" s="482">
        <f t="shared" si="73"/>
        <v>3080.39</v>
      </c>
      <c r="N197" s="494">
        <f t="shared" si="73"/>
        <v>0</v>
      </c>
      <c r="O197" s="70"/>
    </row>
    <row r="198" spans="1:15" ht="12.75">
      <c r="A198" s="63"/>
      <c r="B198" s="35" t="s">
        <v>98</v>
      </c>
      <c r="C198" s="1"/>
      <c r="D198" s="1"/>
      <c r="E198" s="16" t="s">
        <v>99</v>
      </c>
      <c r="F198" s="74">
        <f>F199+F208</f>
        <v>4895.69</v>
      </c>
      <c r="G198" s="74">
        <f aca="true" t="shared" si="74" ref="G198:N198">G199+G208</f>
        <v>0</v>
      </c>
      <c r="H198" s="74">
        <f t="shared" si="74"/>
        <v>0</v>
      </c>
      <c r="I198" s="74">
        <f t="shared" si="74"/>
        <v>0</v>
      </c>
      <c r="J198" s="74">
        <f t="shared" si="74"/>
        <v>0</v>
      </c>
      <c r="K198" s="74">
        <f t="shared" si="74"/>
        <v>1815.3000000000002</v>
      </c>
      <c r="L198" s="74">
        <f t="shared" si="74"/>
        <v>0</v>
      </c>
      <c r="M198" s="74">
        <f t="shared" si="74"/>
        <v>3080.39</v>
      </c>
      <c r="N198" s="74">
        <f t="shared" si="74"/>
        <v>0</v>
      </c>
      <c r="O198" s="70"/>
    </row>
    <row r="199" spans="1:15" ht="12.75">
      <c r="A199" s="63"/>
      <c r="B199" s="35"/>
      <c r="C199" s="1" t="s">
        <v>1165</v>
      </c>
      <c r="D199" s="1"/>
      <c r="E199" s="2" t="s">
        <v>1166</v>
      </c>
      <c r="F199" s="74">
        <f>F200</f>
        <v>0</v>
      </c>
      <c r="G199" s="74">
        <f aca="true" t="shared" si="75" ref="G199:N200">G200</f>
        <v>0</v>
      </c>
      <c r="H199" s="74">
        <f t="shared" si="75"/>
        <v>0</v>
      </c>
      <c r="I199" s="74">
        <f t="shared" si="75"/>
        <v>0</v>
      </c>
      <c r="J199" s="74">
        <f t="shared" si="75"/>
        <v>0</v>
      </c>
      <c r="K199" s="74">
        <f t="shared" si="75"/>
        <v>0</v>
      </c>
      <c r="L199" s="74">
        <f t="shared" si="75"/>
        <v>0</v>
      </c>
      <c r="M199" s="74">
        <f t="shared" si="75"/>
        <v>0</v>
      </c>
      <c r="N199" s="74">
        <f t="shared" si="75"/>
        <v>0</v>
      </c>
      <c r="O199" s="70"/>
    </row>
    <row r="200" spans="1:15" ht="12.75">
      <c r="A200" s="63"/>
      <c r="B200" s="35"/>
      <c r="C200" s="1"/>
      <c r="D200" s="1" t="s">
        <v>212</v>
      </c>
      <c r="E200" s="2" t="s">
        <v>45</v>
      </c>
      <c r="F200" s="74">
        <f>F201</f>
        <v>0</v>
      </c>
      <c r="G200" s="74">
        <f t="shared" si="75"/>
        <v>0</v>
      </c>
      <c r="H200" s="74">
        <f t="shared" si="75"/>
        <v>0</v>
      </c>
      <c r="I200" s="74">
        <f t="shared" si="75"/>
        <v>0</v>
      </c>
      <c r="J200" s="74">
        <f t="shared" si="75"/>
        <v>0</v>
      </c>
      <c r="K200" s="74">
        <f t="shared" si="75"/>
        <v>0</v>
      </c>
      <c r="L200" s="74">
        <f t="shared" si="75"/>
        <v>0</v>
      </c>
      <c r="M200" s="74">
        <f t="shared" si="75"/>
        <v>0</v>
      </c>
      <c r="N200" s="74">
        <f t="shared" si="75"/>
        <v>0</v>
      </c>
      <c r="O200" s="70"/>
    </row>
    <row r="201" spans="1:15" ht="25.5">
      <c r="A201" s="63"/>
      <c r="B201" s="35"/>
      <c r="C201" s="1"/>
      <c r="D201" s="1" t="s">
        <v>125</v>
      </c>
      <c r="E201" s="2" t="s">
        <v>1167</v>
      </c>
      <c r="F201" s="74">
        <f>SUM(F202:F207)</f>
        <v>0</v>
      </c>
      <c r="G201" s="74">
        <f aca="true" t="shared" si="76" ref="G201:N201">SUM(G202:G207)</f>
        <v>0</v>
      </c>
      <c r="H201" s="74">
        <f t="shared" si="76"/>
        <v>0</v>
      </c>
      <c r="I201" s="74">
        <f t="shared" si="76"/>
        <v>0</v>
      </c>
      <c r="J201" s="74">
        <f t="shared" si="76"/>
        <v>0</v>
      </c>
      <c r="K201" s="74">
        <f t="shared" si="76"/>
        <v>0</v>
      </c>
      <c r="L201" s="74">
        <f t="shared" si="76"/>
        <v>0</v>
      </c>
      <c r="M201" s="74">
        <f t="shared" si="76"/>
        <v>0</v>
      </c>
      <c r="N201" s="74">
        <f t="shared" si="76"/>
        <v>0</v>
      </c>
      <c r="O201" s="70"/>
    </row>
    <row r="202" spans="1:15" ht="25.5">
      <c r="A202" s="63"/>
      <c r="B202" s="35"/>
      <c r="C202" s="1"/>
      <c r="D202" s="1"/>
      <c r="E202" s="132" t="s">
        <v>1161</v>
      </c>
      <c r="F202" s="74">
        <f aca="true" t="shared" si="77" ref="F202:F207">G202+H202+I202+J202+K202+L202+M202+N202</f>
        <v>-1293.3</v>
      </c>
      <c r="G202" s="451"/>
      <c r="H202" s="141"/>
      <c r="I202" s="461"/>
      <c r="J202" s="89"/>
      <c r="K202" s="93"/>
      <c r="L202" s="471"/>
      <c r="M202" s="481"/>
      <c r="N202" s="491">
        <v>-1293.3</v>
      </c>
      <c r="O202" s="70"/>
    </row>
    <row r="203" spans="1:15" ht="25.5">
      <c r="A203" s="63"/>
      <c r="B203" s="35"/>
      <c r="C203" s="1"/>
      <c r="D203" s="1"/>
      <c r="E203" s="16" t="s">
        <v>1148</v>
      </c>
      <c r="F203" s="74">
        <f t="shared" si="77"/>
        <v>1293.3</v>
      </c>
      <c r="G203" s="451"/>
      <c r="H203" s="141"/>
      <c r="I203" s="461"/>
      <c r="J203" s="89"/>
      <c r="K203" s="93"/>
      <c r="L203" s="471"/>
      <c r="M203" s="481"/>
      <c r="N203" s="491">
        <v>1293.3</v>
      </c>
      <c r="O203" s="70"/>
    </row>
    <row r="204" spans="1:15" ht="25.5">
      <c r="A204" s="63"/>
      <c r="B204" s="35"/>
      <c r="C204" s="1"/>
      <c r="D204" s="1"/>
      <c r="E204" s="16" t="s">
        <v>849</v>
      </c>
      <c r="F204" s="74">
        <f t="shared" si="77"/>
        <v>-5000</v>
      </c>
      <c r="G204" s="451"/>
      <c r="H204" s="141"/>
      <c r="I204" s="461"/>
      <c r="J204" s="89"/>
      <c r="K204" s="93"/>
      <c r="L204" s="471"/>
      <c r="M204" s="481"/>
      <c r="N204" s="491">
        <v>-5000</v>
      </c>
      <c r="O204" s="70"/>
    </row>
    <row r="205" spans="1:15" ht="25.5">
      <c r="A205" s="63"/>
      <c r="B205" s="35"/>
      <c r="C205" s="1"/>
      <c r="D205" s="1"/>
      <c r="E205" s="16" t="s">
        <v>1149</v>
      </c>
      <c r="F205" s="74">
        <f t="shared" si="77"/>
        <v>5000</v>
      </c>
      <c r="G205" s="451"/>
      <c r="H205" s="141"/>
      <c r="I205" s="461"/>
      <c r="J205" s="89"/>
      <c r="K205" s="93"/>
      <c r="L205" s="471"/>
      <c r="M205" s="481"/>
      <c r="N205" s="491">
        <v>5000</v>
      </c>
      <c r="O205" s="70"/>
    </row>
    <row r="206" spans="1:15" ht="25.5">
      <c r="A206" s="63"/>
      <c r="B206" s="35"/>
      <c r="C206" s="1"/>
      <c r="D206" s="1"/>
      <c r="E206" s="16" t="s">
        <v>846</v>
      </c>
      <c r="F206" s="74">
        <f t="shared" si="77"/>
        <v>-459.3</v>
      </c>
      <c r="G206" s="451"/>
      <c r="H206" s="141"/>
      <c r="I206" s="461"/>
      <c r="J206" s="89"/>
      <c r="K206" s="93"/>
      <c r="L206" s="471"/>
      <c r="M206" s="481"/>
      <c r="N206" s="491">
        <v>-459.3</v>
      </c>
      <c r="O206" s="70"/>
    </row>
    <row r="207" spans="1:15" ht="25.5">
      <c r="A207" s="63"/>
      <c r="B207" s="35"/>
      <c r="C207" s="1"/>
      <c r="D207" s="1"/>
      <c r="E207" s="16" t="s">
        <v>1147</v>
      </c>
      <c r="F207" s="74">
        <f t="shared" si="77"/>
        <v>459.3</v>
      </c>
      <c r="G207" s="451"/>
      <c r="H207" s="141"/>
      <c r="I207" s="461"/>
      <c r="J207" s="89"/>
      <c r="K207" s="93"/>
      <c r="L207" s="471"/>
      <c r="M207" s="481"/>
      <c r="N207" s="491">
        <v>459.3</v>
      </c>
      <c r="O207" s="70"/>
    </row>
    <row r="208" spans="1:15" ht="12.75">
      <c r="A208" s="63"/>
      <c r="B208" s="63"/>
      <c r="C208" s="1" t="s">
        <v>37</v>
      </c>
      <c r="D208" s="1"/>
      <c r="E208" s="16" t="s">
        <v>38</v>
      </c>
      <c r="F208" s="74">
        <f>F209+F214</f>
        <v>4895.69</v>
      </c>
      <c r="G208" s="451">
        <f aca="true" t="shared" si="78" ref="G208:N208">G209+G214</f>
        <v>0</v>
      </c>
      <c r="H208" s="141">
        <f t="shared" si="78"/>
        <v>0</v>
      </c>
      <c r="I208" s="461">
        <f t="shared" si="78"/>
        <v>0</v>
      </c>
      <c r="J208" s="89">
        <f t="shared" si="78"/>
        <v>0</v>
      </c>
      <c r="K208" s="93">
        <f t="shared" si="78"/>
        <v>1815.3000000000002</v>
      </c>
      <c r="L208" s="471">
        <f t="shared" si="78"/>
        <v>0</v>
      </c>
      <c r="M208" s="481">
        <f>M209+M214</f>
        <v>3080.39</v>
      </c>
      <c r="N208" s="491">
        <f t="shared" si="78"/>
        <v>0</v>
      </c>
      <c r="O208" s="70"/>
    </row>
    <row r="209" spans="1:15" ht="25.5">
      <c r="A209" s="63"/>
      <c r="B209" s="63"/>
      <c r="C209" s="59" t="s">
        <v>209</v>
      </c>
      <c r="D209" s="1"/>
      <c r="E209" s="16" t="s">
        <v>3</v>
      </c>
      <c r="F209" s="74">
        <f>F210</f>
        <v>2975.49</v>
      </c>
      <c r="G209" s="451">
        <f aca="true" t="shared" si="79" ref="G209:N212">G210</f>
        <v>0</v>
      </c>
      <c r="H209" s="141">
        <f t="shared" si="79"/>
        <v>0</v>
      </c>
      <c r="I209" s="461">
        <f t="shared" si="79"/>
        <v>0</v>
      </c>
      <c r="J209" s="89">
        <f t="shared" si="79"/>
        <v>0</v>
      </c>
      <c r="K209" s="93">
        <f t="shared" si="79"/>
        <v>0</v>
      </c>
      <c r="L209" s="471">
        <f t="shared" si="79"/>
        <v>0</v>
      </c>
      <c r="M209" s="481">
        <f t="shared" si="79"/>
        <v>2975.49</v>
      </c>
      <c r="N209" s="491">
        <f t="shared" si="79"/>
        <v>0</v>
      </c>
      <c r="O209" s="70"/>
    </row>
    <row r="210" spans="1:15" ht="25.5">
      <c r="A210" s="63"/>
      <c r="B210" s="63"/>
      <c r="C210" s="59" t="s">
        <v>176</v>
      </c>
      <c r="D210" s="1"/>
      <c r="E210" s="16" t="s">
        <v>147</v>
      </c>
      <c r="F210" s="74">
        <f>F211</f>
        <v>2975.49</v>
      </c>
      <c r="G210" s="74">
        <f t="shared" si="79"/>
        <v>0</v>
      </c>
      <c r="H210" s="74">
        <f t="shared" si="79"/>
        <v>0</v>
      </c>
      <c r="I210" s="74">
        <f t="shared" si="79"/>
        <v>0</v>
      </c>
      <c r="J210" s="74">
        <f t="shared" si="79"/>
        <v>0</v>
      </c>
      <c r="K210" s="74">
        <f t="shared" si="79"/>
        <v>0</v>
      </c>
      <c r="L210" s="74">
        <f t="shared" si="79"/>
        <v>0</v>
      </c>
      <c r="M210" s="74">
        <f t="shared" si="79"/>
        <v>2975.49</v>
      </c>
      <c r="N210" s="74">
        <f t="shared" si="79"/>
        <v>0</v>
      </c>
      <c r="O210" s="70"/>
    </row>
    <row r="211" spans="1:15" ht="12.75">
      <c r="A211" s="63"/>
      <c r="B211" s="63"/>
      <c r="C211" s="59"/>
      <c r="D211" s="1"/>
      <c r="E211" s="16" t="s">
        <v>1150</v>
      </c>
      <c r="F211" s="74">
        <f>F212</f>
        <v>2975.49</v>
      </c>
      <c r="G211" s="74">
        <f t="shared" si="79"/>
        <v>0</v>
      </c>
      <c r="H211" s="74">
        <f t="shared" si="79"/>
        <v>0</v>
      </c>
      <c r="I211" s="74">
        <f t="shared" si="79"/>
        <v>0</v>
      </c>
      <c r="J211" s="74">
        <f t="shared" si="79"/>
        <v>0</v>
      </c>
      <c r="K211" s="74">
        <f t="shared" si="79"/>
        <v>0</v>
      </c>
      <c r="L211" s="74">
        <f t="shared" si="79"/>
        <v>0</v>
      </c>
      <c r="M211" s="74">
        <f t="shared" si="79"/>
        <v>2975.49</v>
      </c>
      <c r="N211" s="74">
        <f t="shared" si="79"/>
        <v>0</v>
      </c>
      <c r="O211" s="70"/>
    </row>
    <row r="212" spans="1:15" ht="12.75">
      <c r="A212" s="63"/>
      <c r="B212" s="63"/>
      <c r="C212" s="59"/>
      <c r="D212" s="1" t="s">
        <v>212</v>
      </c>
      <c r="E212" s="16" t="s">
        <v>45</v>
      </c>
      <c r="F212" s="74">
        <f>F213</f>
        <v>2975.49</v>
      </c>
      <c r="G212" s="451">
        <f t="shared" si="79"/>
        <v>0</v>
      </c>
      <c r="H212" s="141">
        <f t="shared" si="79"/>
        <v>0</v>
      </c>
      <c r="I212" s="461">
        <f t="shared" si="79"/>
        <v>0</v>
      </c>
      <c r="J212" s="89">
        <f t="shared" si="79"/>
        <v>0</v>
      </c>
      <c r="K212" s="93">
        <f t="shared" si="79"/>
        <v>0</v>
      </c>
      <c r="L212" s="471">
        <f t="shared" si="79"/>
        <v>0</v>
      </c>
      <c r="M212" s="481">
        <f t="shared" si="79"/>
        <v>2975.49</v>
      </c>
      <c r="N212" s="491">
        <f t="shared" si="79"/>
        <v>0</v>
      </c>
      <c r="O212" s="70"/>
    </row>
    <row r="213" spans="1:15" ht="25.5">
      <c r="A213" s="63"/>
      <c r="B213" s="63"/>
      <c r="C213" s="59"/>
      <c r="D213" s="1" t="s">
        <v>125</v>
      </c>
      <c r="E213" s="16" t="s">
        <v>290</v>
      </c>
      <c r="F213" s="74">
        <f>G213+H213+I213+J213+K213+L213+M213+N213</f>
        <v>2975.49</v>
      </c>
      <c r="G213" s="451"/>
      <c r="H213" s="141"/>
      <c r="I213" s="461"/>
      <c r="J213" s="89"/>
      <c r="K213" s="93"/>
      <c r="L213" s="471"/>
      <c r="M213" s="481">
        <v>2975.49</v>
      </c>
      <c r="N213" s="491"/>
      <c r="O213" s="70"/>
    </row>
    <row r="214" spans="1:15" ht="38.25">
      <c r="A214" s="63"/>
      <c r="B214" s="63"/>
      <c r="C214" s="59" t="s">
        <v>102</v>
      </c>
      <c r="D214" s="1"/>
      <c r="E214" s="16" t="s">
        <v>103</v>
      </c>
      <c r="F214" s="74">
        <f>F215</f>
        <v>1920.1999999999998</v>
      </c>
      <c r="G214" s="451">
        <f aca="true" t="shared" si="80" ref="G214:N215">G215</f>
        <v>0</v>
      </c>
      <c r="H214" s="141">
        <f t="shared" si="80"/>
        <v>0</v>
      </c>
      <c r="I214" s="461">
        <f t="shared" si="80"/>
        <v>0</v>
      </c>
      <c r="J214" s="89">
        <f t="shared" si="80"/>
        <v>0</v>
      </c>
      <c r="K214" s="93">
        <f t="shared" si="80"/>
        <v>1815.3000000000002</v>
      </c>
      <c r="L214" s="471">
        <f t="shared" si="80"/>
        <v>0</v>
      </c>
      <c r="M214" s="481">
        <f t="shared" si="80"/>
        <v>104.9</v>
      </c>
      <c r="N214" s="491">
        <f t="shared" si="80"/>
        <v>0</v>
      </c>
      <c r="O214" s="70"/>
    </row>
    <row r="215" spans="1:15" ht="12.75">
      <c r="A215" s="63"/>
      <c r="B215" s="63"/>
      <c r="C215" s="59"/>
      <c r="D215" s="1" t="s">
        <v>212</v>
      </c>
      <c r="E215" s="16" t="s">
        <v>45</v>
      </c>
      <c r="F215" s="74">
        <f>F216</f>
        <v>1920.1999999999998</v>
      </c>
      <c r="G215" s="451">
        <f t="shared" si="80"/>
        <v>0</v>
      </c>
      <c r="H215" s="141">
        <f t="shared" si="80"/>
        <v>0</v>
      </c>
      <c r="I215" s="461">
        <f t="shared" si="80"/>
        <v>0</v>
      </c>
      <c r="J215" s="89">
        <f t="shared" si="80"/>
        <v>0</v>
      </c>
      <c r="K215" s="93">
        <f t="shared" si="80"/>
        <v>1815.3000000000002</v>
      </c>
      <c r="L215" s="471">
        <f t="shared" si="80"/>
        <v>0</v>
      </c>
      <c r="M215" s="481">
        <f t="shared" si="80"/>
        <v>104.9</v>
      </c>
      <c r="N215" s="491">
        <f t="shared" si="80"/>
        <v>0</v>
      </c>
      <c r="O215" s="70"/>
    </row>
    <row r="216" spans="1:15" ht="25.5">
      <c r="A216" s="63"/>
      <c r="B216" s="63"/>
      <c r="C216" s="59"/>
      <c r="D216" s="1" t="s">
        <v>125</v>
      </c>
      <c r="E216" s="16" t="s">
        <v>948</v>
      </c>
      <c r="F216" s="74">
        <f>SUM(F217:F228)</f>
        <v>1920.1999999999998</v>
      </c>
      <c r="G216" s="74">
        <f aca="true" t="shared" si="81" ref="G216:N216">SUM(G217:G228)</f>
        <v>0</v>
      </c>
      <c r="H216" s="74">
        <f t="shared" si="81"/>
        <v>0</v>
      </c>
      <c r="I216" s="74">
        <f t="shared" si="81"/>
        <v>0</v>
      </c>
      <c r="J216" s="74">
        <f t="shared" si="81"/>
        <v>0</v>
      </c>
      <c r="K216" s="74">
        <f t="shared" si="81"/>
        <v>1815.3000000000002</v>
      </c>
      <c r="L216" s="74">
        <f t="shared" si="81"/>
        <v>0</v>
      </c>
      <c r="M216" s="74">
        <f t="shared" si="81"/>
        <v>104.9</v>
      </c>
      <c r="N216" s="74">
        <f t="shared" si="81"/>
        <v>0</v>
      </c>
      <c r="O216" s="70"/>
    </row>
    <row r="217" spans="1:15" ht="25.5">
      <c r="A217" s="63"/>
      <c r="B217" s="63"/>
      <c r="C217" s="59" t="s">
        <v>174</v>
      </c>
      <c r="D217" s="1"/>
      <c r="E217" s="16" t="s">
        <v>104</v>
      </c>
      <c r="F217" s="74">
        <f aca="true" t="shared" si="82" ref="F217:F229">G217+H217+I217+J217+K217+L217+M217+N217</f>
        <v>69.9</v>
      </c>
      <c r="G217" s="452"/>
      <c r="H217" s="142"/>
      <c r="I217" s="462"/>
      <c r="J217" s="90"/>
      <c r="K217" s="94"/>
      <c r="L217" s="474"/>
      <c r="M217" s="482">
        <v>69.9</v>
      </c>
      <c r="N217" s="494"/>
      <c r="O217" s="70"/>
    </row>
    <row r="218" spans="1:15" ht="25.5">
      <c r="A218" s="63"/>
      <c r="B218" s="63"/>
      <c r="C218" s="22" t="s">
        <v>1159</v>
      </c>
      <c r="D218" s="1"/>
      <c r="E218" s="16" t="s">
        <v>1161</v>
      </c>
      <c r="F218" s="74">
        <f>G218+H218+I218+J218+K218+L218+M218+N218</f>
        <v>-3017.7</v>
      </c>
      <c r="G218" s="452"/>
      <c r="H218" s="142"/>
      <c r="I218" s="462"/>
      <c r="J218" s="90"/>
      <c r="K218" s="94"/>
      <c r="L218" s="474"/>
      <c r="M218" s="482"/>
      <c r="N218" s="494">
        <v>-3017.7</v>
      </c>
      <c r="O218" s="70"/>
    </row>
    <row r="219" spans="1:15" ht="25.5">
      <c r="A219" s="63"/>
      <c r="B219" s="63"/>
      <c r="C219" s="22" t="s">
        <v>1159</v>
      </c>
      <c r="D219" s="1"/>
      <c r="E219" s="16" t="s">
        <v>1148</v>
      </c>
      <c r="F219" s="74">
        <f t="shared" si="82"/>
        <v>3017.7</v>
      </c>
      <c r="G219" s="452"/>
      <c r="H219" s="142"/>
      <c r="I219" s="462"/>
      <c r="J219" s="90"/>
      <c r="K219" s="94"/>
      <c r="L219" s="474"/>
      <c r="M219" s="482"/>
      <c r="N219" s="494">
        <v>3017.7</v>
      </c>
      <c r="O219" s="70"/>
    </row>
    <row r="220" spans="1:15" ht="25.5">
      <c r="A220" s="63"/>
      <c r="B220" s="63"/>
      <c r="C220" s="22" t="s">
        <v>1160</v>
      </c>
      <c r="D220" s="1"/>
      <c r="E220" s="16" t="s">
        <v>1162</v>
      </c>
      <c r="F220" s="74">
        <f t="shared" si="82"/>
        <v>-6000</v>
      </c>
      <c r="G220" s="452"/>
      <c r="H220" s="142"/>
      <c r="I220" s="462"/>
      <c r="J220" s="90"/>
      <c r="K220" s="94"/>
      <c r="L220" s="474"/>
      <c r="M220" s="482"/>
      <c r="N220" s="494">
        <v>-6000</v>
      </c>
      <c r="O220" s="70"/>
    </row>
    <row r="221" spans="1:15" ht="25.5">
      <c r="A221" s="63"/>
      <c r="B221" s="63"/>
      <c r="C221" s="22" t="s">
        <v>1160</v>
      </c>
      <c r="D221" s="1"/>
      <c r="E221" s="16" t="s">
        <v>1149</v>
      </c>
      <c r="F221" s="74">
        <f>G221+H221+I221+J221+K221+L221+M221+N221</f>
        <v>6000</v>
      </c>
      <c r="G221" s="452"/>
      <c r="H221" s="142"/>
      <c r="I221" s="462"/>
      <c r="J221" s="90"/>
      <c r="K221" s="94"/>
      <c r="L221" s="474"/>
      <c r="M221" s="482"/>
      <c r="N221" s="494">
        <v>6000</v>
      </c>
      <c r="O221" s="70"/>
    </row>
    <row r="222" spans="1:15" ht="12.75">
      <c r="A222" s="63"/>
      <c r="B222" s="63"/>
      <c r="C222" s="59" t="s">
        <v>946</v>
      </c>
      <c r="D222" s="1"/>
      <c r="E222" s="16" t="s">
        <v>947</v>
      </c>
      <c r="F222" s="74">
        <f t="shared" si="82"/>
        <v>4545.3</v>
      </c>
      <c r="G222" s="452"/>
      <c r="H222" s="142"/>
      <c r="I222" s="462"/>
      <c r="J222" s="90"/>
      <c r="K222" s="94">
        <v>4545.3</v>
      </c>
      <c r="L222" s="474"/>
      <c r="M222" s="482"/>
      <c r="N222" s="494"/>
      <c r="O222" s="70"/>
    </row>
    <row r="223" spans="1:15" ht="12.75">
      <c r="A223" s="63"/>
      <c r="B223" s="63"/>
      <c r="C223" s="59" t="s">
        <v>175</v>
      </c>
      <c r="D223" s="1"/>
      <c r="E223" s="16" t="s">
        <v>165</v>
      </c>
      <c r="F223" s="74">
        <f t="shared" si="82"/>
        <v>35</v>
      </c>
      <c r="G223" s="452"/>
      <c r="H223" s="142"/>
      <c r="I223" s="462"/>
      <c r="J223" s="90"/>
      <c r="K223" s="94"/>
      <c r="L223" s="474"/>
      <c r="M223" s="482">
        <v>35</v>
      </c>
      <c r="N223" s="494"/>
      <c r="O223" s="70"/>
    </row>
    <row r="224" spans="1:15" ht="15" customHeight="1">
      <c r="A224" s="63"/>
      <c r="B224" s="63"/>
      <c r="C224" s="59" t="s">
        <v>1108</v>
      </c>
      <c r="D224" s="1"/>
      <c r="E224" s="16" t="s">
        <v>1111</v>
      </c>
      <c r="F224" s="74">
        <f t="shared" si="82"/>
        <v>-1230</v>
      </c>
      <c r="G224" s="452"/>
      <c r="H224" s="142"/>
      <c r="I224" s="462"/>
      <c r="J224" s="90"/>
      <c r="K224" s="94">
        <v>-1230</v>
      </c>
      <c r="L224" s="474"/>
      <c r="M224" s="482"/>
      <c r="N224" s="494"/>
      <c r="O224" s="70"/>
    </row>
    <row r="225" spans="1:15" ht="25.5">
      <c r="A225" s="63"/>
      <c r="B225" s="63"/>
      <c r="C225" s="59" t="s">
        <v>1109</v>
      </c>
      <c r="D225" s="1"/>
      <c r="E225" s="16" t="s">
        <v>1112</v>
      </c>
      <c r="F225" s="74">
        <f t="shared" si="82"/>
        <v>-100</v>
      </c>
      <c r="G225" s="452"/>
      <c r="H225" s="142"/>
      <c r="I225" s="462"/>
      <c r="J225" s="90"/>
      <c r="K225" s="94">
        <v>-100</v>
      </c>
      <c r="L225" s="474"/>
      <c r="M225" s="482"/>
      <c r="N225" s="494"/>
      <c r="O225" s="70"/>
    </row>
    <row r="226" spans="1:15" ht="25.5">
      <c r="A226" s="63"/>
      <c r="B226" s="63"/>
      <c r="C226" s="59" t="s">
        <v>1110</v>
      </c>
      <c r="D226" s="1"/>
      <c r="E226" s="16" t="s">
        <v>1113</v>
      </c>
      <c r="F226" s="74">
        <f t="shared" si="82"/>
        <v>-1400</v>
      </c>
      <c r="G226" s="452"/>
      <c r="H226" s="142"/>
      <c r="I226" s="462"/>
      <c r="J226" s="90"/>
      <c r="K226" s="94">
        <v>-1400</v>
      </c>
      <c r="L226" s="474"/>
      <c r="M226" s="482"/>
      <c r="N226" s="494"/>
      <c r="O226" s="70"/>
    </row>
    <row r="227" spans="1:15" ht="25.5">
      <c r="A227" s="63"/>
      <c r="B227" s="63"/>
      <c r="C227" s="22" t="s">
        <v>1163</v>
      </c>
      <c r="D227" s="1"/>
      <c r="E227" s="16" t="s">
        <v>846</v>
      </c>
      <c r="F227" s="74">
        <f>G227+H227+I227+J227+K227+L227+M227+N227</f>
        <v>-1071.7</v>
      </c>
      <c r="G227" s="452"/>
      <c r="H227" s="142"/>
      <c r="I227" s="462"/>
      <c r="J227" s="90"/>
      <c r="K227" s="94"/>
      <c r="L227" s="474"/>
      <c r="M227" s="482"/>
      <c r="N227" s="494">
        <v>-1071.7</v>
      </c>
      <c r="O227" s="70"/>
    </row>
    <row r="228" spans="1:15" ht="25.5">
      <c r="A228" s="63"/>
      <c r="B228" s="63"/>
      <c r="C228" s="22" t="s">
        <v>1163</v>
      </c>
      <c r="D228" s="1"/>
      <c r="E228" s="16" t="s">
        <v>1147</v>
      </c>
      <c r="F228" s="74">
        <f t="shared" si="82"/>
        <v>1071.7</v>
      </c>
      <c r="G228" s="452"/>
      <c r="H228" s="142"/>
      <c r="I228" s="462"/>
      <c r="J228" s="90"/>
      <c r="K228" s="94"/>
      <c r="L228" s="474"/>
      <c r="M228" s="482"/>
      <c r="N228" s="494">
        <v>1071.7</v>
      </c>
      <c r="O228" s="70"/>
    </row>
    <row r="229" spans="1:15" ht="12.75">
      <c r="A229" s="63"/>
      <c r="B229" s="1" t="s">
        <v>50</v>
      </c>
      <c r="C229" s="1"/>
      <c r="D229" s="1"/>
      <c r="E229" s="16" t="s">
        <v>51</v>
      </c>
      <c r="F229" s="74">
        <f t="shared" si="82"/>
        <v>4950.387</v>
      </c>
      <c r="G229" s="452">
        <f aca="true" t="shared" si="83" ref="G229:N229">G230+G251</f>
        <v>0</v>
      </c>
      <c r="H229" s="142">
        <f t="shared" si="83"/>
        <v>-3822.3</v>
      </c>
      <c r="I229" s="462">
        <f t="shared" si="83"/>
        <v>4816.627</v>
      </c>
      <c r="J229" s="90">
        <f t="shared" si="83"/>
        <v>0</v>
      </c>
      <c r="K229" s="94">
        <f t="shared" si="83"/>
        <v>0</v>
      </c>
      <c r="L229" s="474">
        <f t="shared" si="83"/>
        <v>1942.762</v>
      </c>
      <c r="M229" s="482">
        <f t="shared" si="83"/>
        <v>2013.298</v>
      </c>
      <c r="N229" s="494">
        <f t="shared" si="83"/>
        <v>0</v>
      </c>
      <c r="O229" s="70"/>
    </row>
    <row r="230" spans="1:15" ht="12.75">
      <c r="A230" s="63"/>
      <c r="B230" s="1" t="s">
        <v>12</v>
      </c>
      <c r="C230" s="1"/>
      <c r="D230" s="1"/>
      <c r="E230" s="16" t="s">
        <v>52</v>
      </c>
      <c r="F230" s="74">
        <f>F231+F239+F246</f>
        <v>-644.1850000000004</v>
      </c>
      <c r="G230" s="451">
        <f aca="true" t="shared" si="84" ref="G230:N230">G231+G239+G246</f>
        <v>0</v>
      </c>
      <c r="H230" s="141">
        <f t="shared" si="84"/>
        <v>-3822.3</v>
      </c>
      <c r="I230" s="461">
        <f t="shared" si="84"/>
        <v>4000</v>
      </c>
      <c r="J230" s="89">
        <f t="shared" si="84"/>
        <v>0</v>
      </c>
      <c r="K230" s="93">
        <f t="shared" si="84"/>
        <v>0</v>
      </c>
      <c r="L230" s="471">
        <f t="shared" si="84"/>
        <v>-1877.7</v>
      </c>
      <c r="M230" s="481">
        <f t="shared" si="84"/>
        <v>1055.815</v>
      </c>
      <c r="N230" s="491">
        <f t="shared" si="84"/>
        <v>0</v>
      </c>
      <c r="O230" s="70"/>
    </row>
    <row r="231" spans="1:15" ht="25.5">
      <c r="A231" s="63"/>
      <c r="B231" s="1"/>
      <c r="C231" s="1" t="s">
        <v>323</v>
      </c>
      <c r="D231" s="1"/>
      <c r="E231" s="16" t="s">
        <v>329</v>
      </c>
      <c r="F231" s="74">
        <f aca="true" t="shared" si="85" ref="F231:N231">F232</f>
        <v>4000</v>
      </c>
      <c r="G231" s="451">
        <f t="shared" si="85"/>
        <v>0</v>
      </c>
      <c r="H231" s="141">
        <f t="shared" si="85"/>
        <v>0</v>
      </c>
      <c r="I231" s="461">
        <f t="shared" si="85"/>
        <v>4000</v>
      </c>
      <c r="J231" s="89">
        <f t="shared" si="85"/>
        <v>0</v>
      </c>
      <c r="K231" s="93">
        <f t="shared" si="85"/>
        <v>0</v>
      </c>
      <c r="L231" s="471">
        <f t="shared" si="85"/>
        <v>0</v>
      </c>
      <c r="M231" s="481">
        <f t="shared" si="85"/>
        <v>0</v>
      </c>
      <c r="N231" s="491">
        <f t="shared" si="85"/>
        <v>0</v>
      </c>
      <c r="O231" s="70"/>
    </row>
    <row r="232" spans="1:15" ht="12.75">
      <c r="A232" s="63"/>
      <c r="B232" s="1"/>
      <c r="C232" s="1" t="s">
        <v>324</v>
      </c>
      <c r="D232" s="1"/>
      <c r="E232" s="16" t="s">
        <v>330</v>
      </c>
      <c r="F232" s="74">
        <f>F233+F236</f>
        <v>4000</v>
      </c>
      <c r="G232" s="451">
        <f aca="true" t="shared" si="86" ref="G232:N232">G233+G236</f>
        <v>0</v>
      </c>
      <c r="H232" s="141">
        <f t="shared" si="86"/>
        <v>0</v>
      </c>
      <c r="I232" s="461">
        <f t="shared" si="86"/>
        <v>4000</v>
      </c>
      <c r="J232" s="89">
        <f t="shared" si="86"/>
        <v>0</v>
      </c>
      <c r="K232" s="93">
        <f t="shared" si="86"/>
        <v>0</v>
      </c>
      <c r="L232" s="471">
        <f t="shared" si="86"/>
        <v>0</v>
      </c>
      <c r="M232" s="481">
        <f t="shared" si="86"/>
        <v>0</v>
      </c>
      <c r="N232" s="491">
        <f t="shared" si="86"/>
        <v>0</v>
      </c>
      <c r="O232" s="70"/>
    </row>
    <row r="233" spans="1:15" ht="12.75">
      <c r="A233" s="63"/>
      <c r="B233" s="1"/>
      <c r="C233" s="1" t="s">
        <v>1114</v>
      </c>
      <c r="D233" s="1"/>
      <c r="E233" s="16" t="s">
        <v>1115</v>
      </c>
      <c r="F233" s="74">
        <f>F234</f>
        <v>2000</v>
      </c>
      <c r="G233" s="451">
        <f aca="true" t="shared" si="87" ref="G233:N234">G234</f>
        <v>0</v>
      </c>
      <c r="H233" s="141">
        <f t="shared" si="87"/>
        <v>0</v>
      </c>
      <c r="I233" s="461">
        <f t="shared" si="87"/>
        <v>2000</v>
      </c>
      <c r="J233" s="89">
        <f t="shared" si="87"/>
        <v>0</v>
      </c>
      <c r="K233" s="93">
        <f t="shared" si="87"/>
        <v>0</v>
      </c>
      <c r="L233" s="471">
        <f t="shared" si="87"/>
        <v>0</v>
      </c>
      <c r="M233" s="481">
        <f t="shared" si="87"/>
        <v>0</v>
      </c>
      <c r="N233" s="491">
        <f t="shared" si="87"/>
        <v>0</v>
      </c>
      <c r="O233" s="70"/>
    </row>
    <row r="234" spans="1:15" ht="12.75">
      <c r="A234" s="63"/>
      <c r="B234" s="1"/>
      <c r="C234" s="1"/>
      <c r="D234" s="1" t="s">
        <v>212</v>
      </c>
      <c r="E234" s="16" t="s">
        <v>45</v>
      </c>
      <c r="F234" s="74">
        <f>F235</f>
        <v>2000</v>
      </c>
      <c r="G234" s="451">
        <f t="shared" si="87"/>
        <v>0</v>
      </c>
      <c r="H234" s="141">
        <f t="shared" si="87"/>
        <v>0</v>
      </c>
      <c r="I234" s="461">
        <f t="shared" si="87"/>
        <v>2000</v>
      </c>
      <c r="J234" s="89">
        <f t="shared" si="87"/>
        <v>0</v>
      </c>
      <c r="K234" s="93">
        <f t="shared" si="87"/>
        <v>0</v>
      </c>
      <c r="L234" s="471">
        <f t="shared" si="87"/>
        <v>0</v>
      </c>
      <c r="M234" s="481">
        <f t="shared" si="87"/>
        <v>0</v>
      </c>
      <c r="N234" s="491">
        <f t="shared" si="87"/>
        <v>0</v>
      </c>
      <c r="O234" s="70"/>
    </row>
    <row r="235" spans="1:15" ht="25.5">
      <c r="A235" s="63"/>
      <c r="B235" s="1"/>
      <c r="C235" s="1"/>
      <c r="D235" s="1" t="s">
        <v>125</v>
      </c>
      <c r="E235" s="16" t="s">
        <v>290</v>
      </c>
      <c r="F235" s="74">
        <f>G235+H235+I235+J235+K235+L235+M235+N235</f>
        <v>2000</v>
      </c>
      <c r="G235" s="451"/>
      <c r="H235" s="141"/>
      <c r="I235" s="461">
        <v>2000</v>
      </c>
      <c r="J235" s="89"/>
      <c r="K235" s="93"/>
      <c r="L235" s="471"/>
      <c r="M235" s="481"/>
      <c r="N235" s="491"/>
      <c r="O235" s="70"/>
    </row>
    <row r="236" spans="1:15" ht="12.75">
      <c r="A236" s="63"/>
      <c r="B236" s="1"/>
      <c r="C236" s="1" t="s">
        <v>1040</v>
      </c>
      <c r="D236" s="1"/>
      <c r="E236" s="16" t="s">
        <v>1041</v>
      </c>
      <c r="F236" s="74">
        <f aca="true" t="shared" si="88" ref="F236:N237">F237</f>
        <v>2000</v>
      </c>
      <c r="G236" s="451">
        <f t="shared" si="88"/>
        <v>0</v>
      </c>
      <c r="H236" s="141">
        <f t="shared" si="88"/>
        <v>0</v>
      </c>
      <c r="I236" s="461">
        <f t="shared" si="88"/>
        <v>2000</v>
      </c>
      <c r="J236" s="89">
        <f t="shared" si="88"/>
        <v>0</v>
      </c>
      <c r="K236" s="93">
        <f t="shared" si="88"/>
        <v>0</v>
      </c>
      <c r="L236" s="471">
        <f t="shared" si="88"/>
        <v>0</v>
      </c>
      <c r="M236" s="481">
        <f t="shared" si="88"/>
        <v>0</v>
      </c>
      <c r="N236" s="491">
        <f t="shared" si="88"/>
        <v>0</v>
      </c>
      <c r="O236" s="70"/>
    </row>
    <row r="237" spans="1:15" ht="12.75">
      <c r="A237" s="63"/>
      <c r="B237" s="1"/>
      <c r="C237" s="1"/>
      <c r="D237" s="1" t="s">
        <v>212</v>
      </c>
      <c r="E237" s="16" t="s">
        <v>45</v>
      </c>
      <c r="F237" s="74">
        <f t="shared" si="88"/>
        <v>2000</v>
      </c>
      <c r="G237" s="451">
        <f t="shared" si="88"/>
        <v>0</v>
      </c>
      <c r="H237" s="141">
        <f t="shared" si="88"/>
        <v>0</v>
      </c>
      <c r="I237" s="461">
        <f t="shared" si="88"/>
        <v>2000</v>
      </c>
      <c r="J237" s="89">
        <f t="shared" si="88"/>
        <v>0</v>
      </c>
      <c r="K237" s="93">
        <f t="shared" si="88"/>
        <v>0</v>
      </c>
      <c r="L237" s="471">
        <f t="shared" si="88"/>
        <v>0</v>
      </c>
      <c r="M237" s="481">
        <f t="shared" si="88"/>
        <v>0</v>
      </c>
      <c r="N237" s="491">
        <f t="shared" si="88"/>
        <v>0</v>
      </c>
      <c r="O237" s="70"/>
    </row>
    <row r="238" spans="1:15" ht="25.5">
      <c r="A238" s="63"/>
      <c r="B238" s="1"/>
      <c r="C238" s="1"/>
      <c r="D238" s="1" t="s">
        <v>125</v>
      </c>
      <c r="E238" s="16" t="s">
        <v>290</v>
      </c>
      <c r="F238" s="74">
        <f>G238+H238+I238+J238+K238+L238+M238+N238</f>
        <v>2000</v>
      </c>
      <c r="G238" s="452"/>
      <c r="H238" s="142"/>
      <c r="I238" s="462">
        <v>2000</v>
      </c>
      <c r="J238" s="90"/>
      <c r="K238" s="94"/>
      <c r="L238" s="474"/>
      <c r="M238" s="482"/>
      <c r="N238" s="494"/>
      <c r="O238" s="70"/>
    </row>
    <row r="239" spans="1:15" ht="12.75">
      <c r="A239" s="63"/>
      <c r="B239" s="63"/>
      <c r="C239" s="1" t="s">
        <v>37</v>
      </c>
      <c r="D239" s="1"/>
      <c r="E239" s="16" t="s">
        <v>38</v>
      </c>
      <c r="F239" s="74">
        <f>G239+H239+I239+J239+K239+L239+M239+N239</f>
        <v>-821.885</v>
      </c>
      <c r="G239" s="452">
        <f>G240</f>
        <v>0</v>
      </c>
      <c r="H239" s="142">
        <f aca="true" t="shared" si="89" ref="H239:N244">H240</f>
        <v>0</v>
      </c>
      <c r="I239" s="462">
        <f t="shared" si="89"/>
        <v>0</v>
      </c>
      <c r="J239" s="90">
        <f t="shared" si="89"/>
        <v>0</v>
      </c>
      <c r="K239" s="94">
        <f t="shared" si="89"/>
        <v>0</v>
      </c>
      <c r="L239" s="474">
        <f t="shared" si="89"/>
        <v>-1877.7</v>
      </c>
      <c r="M239" s="482">
        <f t="shared" si="89"/>
        <v>1055.815</v>
      </c>
      <c r="N239" s="494">
        <f t="shared" si="89"/>
        <v>0</v>
      </c>
      <c r="O239" s="70"/>
    </row>
    <row r="240" spans="1:15" ht="25.5">
      <c r="A240" s="63"/>
      <c r="B240" s="63"/>
      <c r="C240" s="1" t="s">
        <v>209</v>
      </c>
      <c r="D240" s="1"/>
      <c r="E240" s="49" t="s">
        <v>3</v>
      </c>
      <c r="F240" s="74">
        <f>F241+F243</f>
        <v>-821.885</v>
      </c>
      <c r="G240" s="451">
        <f aca="true" t="shared" si="90" ref="G240:N240">G241+G243</f>
        <v>0</v>
      </c>
      <c r="H240" s="141">
        <f t="shared" si="90"/>
        <v>0</v>
      </c>
      <c r="I240" s="461">
        <f t="shared" si="90"/>
        <v>0</v>
      </c>
      <c r="J240" s="89">
        <f t="shared" si="90"/>
        <v>0</v>
      </c>
      <c r="K240" s="93">
        <f t="shared" si="90"/>
        <v>0</v>
      </c>
      <c r="L240" s="471">
        <f t="shared" si="90"/>
        <v>-1877.7</v>
      </c>
      <c r="M240" s="481">
        <f t="shared" si="90"/>
        <v>1055.815</v>
      </c>
      <c r="N240" s="491">
        <f t="shared" si="90"/>
        <v>0</v>
      </c>
      <c r="O240" s="70"/>
    </row>
    <row r="241" spans="1:15" ht="12.75">
      <c r="A241" s="63"/>
      <c r="B241" s="63"/>
      <c r="C241" s="59"/>
      <c r="D241" s="1" t="s">
        <v>210</v>
      </c>
      <c r="E241" s="16" t="s">
        <v>211</v>
      </c>
      <c r="F241" s="74">
        <f>F242</f>
        <v>-1877.7</v>
      </c>
      <c r="G241" s="451">
        <f aca="true" t="shared" si="91" ref="G241:N241">G242</f>
        <v>0</v>
      </c>
      <c r="H241" s="141">
        <f t="shared" si="91"/>
        <v>0</v>
      </c>
      <c r="I241" s="461">
        <f t="shared" si="91"/>
        <v>0</v>
      </c>
      <c r="J241" s="89">
        <f t="shared" si="91"/>
        <v>0</v>
      </c>
      <c r="K241" s="93">
        <f t="shared" si="91"/>
        <v>0</v>
      </c>
      <c r="L241" s="471">
        <f t="shared" si="91"/>
        <v>-1877.7</v>
      </c>
      <c r="M241" s="481">
        <f t="shared" si="91"/>
        <v>0</v>
      </c>
      <c r="N241" s="491">
        <f t="shared" si="91"/>
        <v>0</v>
      </c>
      <c r="O241" s="70"/>
    </row>
    <row r="242" spans="1:15" ht="12.75">
      <c r="A242" s="63"/>
      <c r="B242" s="63"/>
      <c r="C242" s="59"/>
      <c r="D242" s="1" t="s">
        <v>8</v>
      </c>
      <c r="E242" s="16" t="s">
        <v>216</v>
      </c>
      <c r="F242" s="74">
        <f>G242+H242+I242+J242+K242+L242+M242+N242</f>
        <v>-1877.7</v>
      </c>
      <c r="G242" s="452"/>
      <c r="H242" s="142"/>
      <c r="I242" s="462"/>
      <c r="J242" s="90"/>
      <c r="K242" s="94"/>
      <c r="L242" s="474">
        <v>-1877.7</v>
      </c>
      <c r="M242" s="482"/>
      <c r="N242" s="494"/>
      <c r="O242" s="70"/>
    </row>
    <row r="243" spans="1:15" ht="12.75">
      <c r="A243" s="63"/>
      <c r="B243" s="63"/>
      <c r="C243" s="59" t="s">
        <v>177</v>
      </c>
      <c r="D243" s="1"/>
      <c r="E243" s="16" t="s">
        <v>166</v>
      </c>
      <c r="F243" s="74">
        <f>G243+H243+I243+J243+K243+L243+M243+N243</f>
        <v>1055.815</v>
      </c>
      <c r="G243" s="452">
        <f>G244</f>
        <v>0</v>
      </c>
      <c r="H243" s="142">
        <f t="shared" si="89"/>
        <v>0</v>
      </c>
      <c r="I243" s="462">
        <f t="shared" si="89"/>
        <v>0</v>
      </c>
      <c r="J243" s="90">
        <f t="shared" si="89"/>
        <v>0</v>
      </c>
      <c r="K243" s="94">
        <f t="shared" si="89"/>
        <v>0</v>
      </c>
      <c r="L243" s="474">
        <f t="shared" si="89"/>
        <v>0</v>
      </c>
      <c r="M243" s="482">
        <f t="shared" si="89"/>
        <v>1055.815</v>
      </c>
      <c r="N243" s="494">
        <f t="shared" si="89"/>
        <v>0</v>
      </c>
      <c r="O243" s="70"/>
    </row>
    <row r="244" spans="1:15" ht="12.75">
      <c r="A244" s="63"/>
      <c r="B244" s="63"/>
      <c r="C244" s="59"/>
      <c r="D244" s="1" t="s">
        <v>210</v>
      </c>
      <c r="E244" s="16" t="s">
        <v>211</v>
      </c>
      <c r="F244" s="74">
        <f>G244+H244+I244+J244+K244+L244+M244+N244</f>
        <v>1055.815</v>
      </c>
      <c r="G244" s="452">
        <f>G245</f>
        <v>0</v>
      </c>
      <c r="H244" s="142">
        <f t="shared" si="89"/>
        <v>0</v>
      </c>
      <c r="I244" s="462">
        <f t="shared" si="89"/>
        <v>0</v>
      </c>
      <c r="J244" s="90">
        <f t="shared" si="89"/>
        <v>0</v>
      </c>
      <c r="K244" s="94">
        <f t="shared" si="89"/>
        <v>0</v>
      </c>
      <c r="L244" s="474">
        <f t="shared" si="89"/>
        <v>0</v>
      </c>
      <c r="M244" s="482">
        <f t="shared" si="89"/>
        <v>1055.815</v>
      </c>
      <c r="N244" s="494">
        <f t="shared" si="89"/>
        <v>0</v>
      </c>
      <c r="O244" s="70"/>
    </row>
    <row r="245" spans="1:15" ht="12.75">
      <c r="A245" s="63"/>
      <c r="B245" s="63"/>
      <c r="C245" s="59"/>
      <c r="D245" s="1" t="s">
        <v>8</v>
      </c>
      <c r="E245" s="16" t="s">
        <v>216</v>
      </c>
      <c r="F245" s="74">
        <f>G245+H245+I245+J245+K245+L245+M245+N245</f>
        <v>1055.815</v>
      </c>
      <c r="G245" s="452"/>
      <c r="H245" s="142"/>
      <c r="I245" s="462"/>
      <c r="J245" s="90"/>
      <c r="K245" s="94"/>
      <c r="L245" s="474"/>
      <c r="M245" s="482">
        <v>1055.815</v>
      </c>
      <c r="N245" s="494"/>
      <c r="O245" s="70"/>
    </row>
    <row r="246" spans="1:15" ht="12.75">
      <c r="A246" s="63"/>
      <c r="B246" s="63"/>
      <c r="C246" s="59" t="s">
        <v>54</v>
      </c>
      <c r="D246" s="1"/>
      <c r="E246" s="16" t="s">
        <v>55</v>
      </c>
      <c r="F246" s="74">
        <f>F247</f>
        <v>-3822.3</v>
      </c>
      <c r="G246" s="451">
        <f aca="true" t="shared" si="92" ref="G246:N249">G247</f>
        <v>0</v>
      </c>
      <c r="H246" s="141">
        <f t="shared" si="92"/>
        <v>-3822.3</v>
      </c>
      <c r="I246" s="461">
        <f t="shared" si="92"/>
        <v>0</v>
      </c>
      <c r="J246" s="89">
        <f t="shared" si="92"/>
        <v>0</v>
      </c>
      <c r="K246" s="93">
        <f t="shared" si="92"/>
        <v>0</v>
      </c>
      <c r="L246" s="471">
        <f t="shared" si="92"/>
        <v>0</v>
      </c>
      <c r="M246" s="481">
        <f t="shared" si="92"/>
        <v>0</v>
      </c>
      <c r="N246" s="491">
        <f t="shared" si="92"/>
        <v>0</v>
      </c>
      <c r="O246" s="70"/>
    </row>
    <row r="247" spans="1:15" ht="12.75">
      <c r="A247" s="63"/>
      <c r="B247" s="63"/>
      <c r="C247" s="59" t="s">
        <v>56</v>
      </c>
      <c r="D247" s="1"/>
      <c r="E247" s="16" t="s">
        <v>57</v>
      </c>
      <c r="F247" s="74">
        <f>F248</f>
        <v>-3822.3</v>
      </c>
      <c r="G247" s="451">
        <f t="shared" si="92"/>
        <v>0</v>
      </c>
      <c r="H247" s="141">
        <f t="shared" si="92"/>
        <v>-3822.3</v>
      </c>
      <c r="I247" s="461">
        <f t="shared" si="92"/>
        <v>0</v>
      </c>
      <c r="J247" s="89">
        <f t="shared" si="92"/>
        <v>0</v>
      </c>
      <c r="K247" s="93">
        <f t="shared" si="92"/>
        <v>0</v>
      </c>
      <c r="L247" s="471">
        <f t="shared" si="92"/>
        <v>0</v>
      </c>
      <c r="M247" s="481">
        <f t="shared" si="92"/>
        <v>0</v>
      </c>
      <c r="N247" s="491">
        <f t="shared" si="92"/>
        <v>0</v>
      </c>
      <c r="O247" s="70"/>
    </row>
    <row r="248" spans="1:15" ht="12.75" customHeight="1">
      <c r="A248" s="63"/>
      <c r="B248" s="63"/>
      <c r="C248" s="59" t="s">
        <v>58</v>
      </c>
      <c r="D248" s="1"/>
      <c r="E248" s="16" t="s">
        <v>220</v>
      </c>
      <c r="F248" s="74">
        <f>F249</f>
        <v>-3822.3</v>
      </c>
      <c r="G248" s="451">
        <f t="shared" si="92"/>
        <v>0</v>
      </c>
      <c r="H248" s="141">
        <f t="shared" si="92"/>
        <v>-3822.3</v>
      </c>
      <c r="I248" s="461">
        <f t="shared" si="92"/>
        <v>0</v>
      </c>
      <c r="J248" s="89">
        <f t="shared" si="92"/>
        <v>0</v>
      </c>
      <c r="K248" s="93">
        <f t="shared" si="92"/>
        <v>0</v>
      </c>
      <c r="L248" s="471">
        <f t="shared" si="92"/>
        <v>0</v>
      </c>
      <c r="M248" s="481">
        <f t="shared" si="92"/>
        <v>0</v>
      </c>
      <c r="N248" s="491">
        <f t="shared" si="92"/>
        <v>0</v>
      </c>
      <c r="O248" s="70"/>
    </row>
    <row r="249" spans="1:15" ht="12.75">
      <c r="A249" s="63"/>
      <c r="B249" s="63"/>
      <c r="C249" s="59"/>
      <c r="D249" s="1" t="s">
        <v>210</v>
      </c>
      <c r="E249" s="16" t="s">
        <v>211</v>
      </c>
      <c r="F249" s="74">
        <f>F250</f>
        <v>-3822.3</v>
      </c>
      <c r="G249" s="451">
        <f t="shared" si="92"/>
        <v>0</v>
      </c>
      <c r="H249" s="141">
        <f t="shared" si="92"/>
        <v>-3822.3</v>
      </c>
      <c r="I249" s="461">
        <f t="shared" si="92"/>
        <v>0</v>
      </c>
      <c r="J249" s="89">
        <f t="shared" si="92"/>
        <v>0</v>
      </c>
      <c r="K249" s="93">
        <f t="shared" si="92"/>
        <v>0</v>
      </c>
      <c r="L249" s="471">
        <f t="shared" si="92"/>
        <v>0</v>
      </c>
      <c r="M249" s="481">
        <f t="shared" si="92"/>
        <v>0</v>
      </c>
      <c r="N249" s="491">
        <f t="shared" si="92"/>
        <v>0</v>
      </c>
      <c r="O249" s="70"/>
    </row>
    <row r="250" spans="1:15" ht="12.75">
      <c r="A250" s="63"/>
      <c r="B250" s="63"/>
      <c r="C250" s="59"/>
      <c r="D250" s="1" t="s">
        <v>8</v>
      </c>
      <c r="E250" s="16" t="s">
        <v>216</v>
      </c>
      <c r="F250" s="74">
        <f>G250+H250+I250+J250+K250+L250+M250+N250</f>
        <v>-3822.3</v>
      </c>
      <c r="G250" s="452"/>
      <c r="H250" s="142">
        <v>-3822.3</v>
      </c>
      <c r="I250" s="462"/>
      <c r="J250" s="90"/>
      <c r="K250" s="94"/>
      <c r="L250" s="474"/>
      <c r="M250" s="482"/>
      <c r="N250" s="494"/>
      <c r="O250" s="70"/>
    </row>
    <row r="251" spans="1:15" ht="12.75">
      <c r="A251" s="63"/>
      <c r="B251" s="1" t="s">
        <v>5</v>
      </c>
      <c r="C251" s="1"/>
      <c r="D251" s="1"/>
      <c r="E251" s="16" t="s">
        <v>53</v>
      </c>
      <c r="F251" s="74">
        <f>F252+F257+F262</f>
        <v>5594.572</v>
      </c>
      <c r="G251" s="451">
        <f aca="true" t="shared" si="93" ref="G251:N251">G252+G257+G262</f>
        <v>0</v>
      </c>
      <c r="H251" s="141">
        <f t="shared" si="93"/>
        <v>0</v>
      </c>
      <c r="I251" s="461">
        <f t="shared" si="93"/>
        <v>816.627</v>
      </c>
      <c r="J251" s="89">
        <f t="shared" si="93"/>
        <v>0</v>
      </c>
      <c r="K251" s="93">
        <f t="shared" si="93"/>
        <v>0</v>
      </c>
      <c r="L251" s="471">
        <f t="shared" si="93"/>
        <v>3820.462</v>
      </c>
      <c r="M251" s="481">
        <f t="shared" si="93"/>
        <v>957.483</v>
      </c>
      <c r="N251" s="491">
        <f t="shared" si="93"/>
        <v>0</v>
      </c>
      <c r="O251" s="70"/>
    </row>
    <row r="252" spans="1:15" ht="25.5">
      <c r="A252" s="63"/>
      <c r="B252" s="1"/>
      <c r="C252" s="1" t="s">
        <v>323</v>
      </c>
      <c r="D252" s="1"/>
      <c r="E252" s="16" t="s">
        <v>329</v>
      </c>
      <c r="F252" s="74">
        <f>F253</f>
        <v>816.627</v>
      </c>
      <c r="G252" s="451">
        <f aca="true" t="shared" si="94" ref="G252:N255">G253</f>
        <v>0</v>
      </c>
      <c r="H252" s="141">
        <f t="shared" si="94"/>
        <v>0</v>
      </c>
      <c r="I252" s="461">
        <f t="shared" si="94"/>
        <v>816.627</v>
      </c>
      <c r="J252" s="89">
        <f t="shared" si="94"/>
        <v>0</v>
      </c>
      <c r="K252" s="93">
        <f t="shared" si="94"/>
        <v>0</v>
      </c>
      <c r="L252" s="471">
        <f t="shared" si="94"/>
        <v>0</v>
      </c>
      <c r="M252" s="481">
        <f t="shared" si="94"/>
        <v>0</v>
      </c>
      <c r="N252" s="491">
        <f t="shared" si="94"/>
        <v>0</v>
      </c>
      <c r="O252" s="70"/>
    </row>
    <row r="253" spans="1:15" ht="12.75">
      <c r="A253" s="63"/>
      <c r="B253" s="1"/>
      <c r="C253" s="1" t="s">
        <v>324</v>
      </c>
      <c r="D253" s="1"/>
      <c r="E253" s="16" t="s">
        <v>330</v>
      </c>
      <c r="F253" s="74">
        <f>F254</f>
        <v>816.627</v>
      </c>
      <c r="G253" s="451">
        <f t="shared" si="94"/>
        <v>0</v>
      </c>
      <c r="H253" s="141">
        <f t="shared" si="94"/>
        <v>0</v>
      </c>
      <c r="I253" s="461">
        <f t="shared" si="94"/>
        <v>816.627</v>
      </c>
      <c r="J253" s="89">
        <f t="shared" si="94"/>
        <v>0</v>
      </c>
      <c r="K253" s="93">
        <f t="shared" si="94"/>
        <v>0</v>
      </c>
      <c r="L253" s="471">
        <f t="shared" si="94"/>
        <v>0</v>
      </c>
      <c r="M253" s="481">
        <f t="shared" si="94"/>
        <v>0</v>
      </c>
      <c r="N253" s="491">
        <f t="shared" si="94"/>
        <v>0</v>
      </c>
      <c r="O253" s="70"/>
    </row>
    <row r="254" spans="1:15" ht="12.75">
      <c r="A254" s="63"/>
      <c r="B254" s="1"/>
      <c r="C254" s="1" t="s">
        <v>1042</v>
      </c>
      <c r="D254" s="1"/>
      <c r="E254" s="16" t="s">
        <v>1043</v>
      </c>
      <c r="F254" s="74">
        <f>F255</f>
        <v>816.627</v>
      </c>
      <c r="G254" s="451">
        <f t="shared" si="94"/>
        <v>0</v>
      </c>
      <c r="H254" s="141">
        <f t="shared" si="94"/>
        <v>0</v>
      </c>
      <c r="I254" s="461">
        <f t="shared" si="94"/>
        <v>816.627</v>
      </c>
      <c r="J254" s="89">
        <f t="shared" si="94"/>
        <v>0</v>
      </c>
      <c r="K254" s="93">
        <f t="shared" si="94"/>
        <v>0</v>
      </c>
      <c r="L254" s="471">
        <f t="shared" si="94"/>
        <v>0</v>
      </c>
      <c r="M254" s="481">
        <f t="shared" si="94"/>
        <v>0</v>
      </c>
      <c r="N254" s="491">
        <f t="shared" si="94"/>
        <v>0</v>
      </c>
      <c r="O254" s="70"/>
    </row>
    <row r="255" spans="1:15" ht="12.75">
      <c r="A255" s="63"/>
      <c r="B255" s="1"/>
      <c r="C255" s="1"/>
      <c r="D255" s="1" t="s">
        <v>212</v>
      </c>
      <c r="E255" s="16" t="s">
        <v>45</v>
      </c>
      <c r="F255" s="74">
        <f>F256</f>
        <v>816.627</v>
      </c>
      <c r="G255" s="451">
        <f t="shared" si="94"/>
        <v>0</v>
      </c>
      <c r="H255" s="141">
        <f t="shared" si="94"/>
        <v>0</v>
      </c>
      <c r="I255" s="461">
        <f t="shared" si="94"/>
        <v>816.627</v>
      </c>
      <c r="J255" s="89">
        <f t="shared" si="94"/>
        <v>0</v>
      </c>
      <c r="K255" s="93">
        <f t="shared" si="94"/>
        <v>0</v>
      </c>
      <c r="L255" s="471">
        <f t="shared" si="94"/>
        <v>0</v>
      </c>
      <c r="M255" s="481">
        <f t="shared" si="94"/>
        <v>0</v>
      </c>
      <c r="N255" s="491">
        <f t="shared" si="94"/>
        <v>0</v>
      </c>
      <c r="O255" s="70"/>
    </row>
    <row r="256" spans="1:15" ht="25.5">
      <c r="A256" s="63"/>
      <c r="B256" s="1"/>
      <c r="C256" s="1"/>
      <c r="D256" s="1" t="s">
        <v>125</v>
      </c>
      <c r="E256" s="16" t="s">
        <v>290</v>
      </c>
      <c r="F256" s="74">
        <f>G256+H256+I256+J256+K256+L256+M256+N256</f>
        <v>816.627</v>
      </c>
      <c r="G256" s="451"/>
      <c r="H256" s="141"/>
      <c r="I256" s="461">
        <v>816.627</v>
      </c>
      <c r="J256" s="89"/>
      <c r="K256" s="93"/>
      <c r="L256" s="471"/>
      <c r="M256" s="481"/>
      <c r="N256" s="491"/>
      <c r="O256" s="70"/>
    </row>
    <row r="257" spans="1:15" ht="12.75">
      <c r="A257" s="63"/>
      <c r="B257" s="63"/>
      <c r="C257" s="1" t="s">
        <v>37</v>
      </c>
      <c r="D257" s="1"/>
      <c r="E257" s="16" t="s">
        <v>38</v>
      </c>
      <c r="F257" s="74">
        <f aca="true" t="shared" si="95" ref="F257:F270">G257+H257+I257+J257+K257+L257+M257+N257</f>
        <v>4777.945</v>
      </c>
      <c r="G257" s="452">
        <f>G258</f>
        <v>0</v>
      </c>
      <c r="H257" s="142">
        <f aca="true" t="shared" si="96" ref="H257:N260">H258</f>
        <v>0</v>
      </c>
      <c r="I257" s="462">
        <f t="shared" si="96"/>
        <v>0</v>
      </c>
      <c r="J257" s="90">
        <f t="shared" si="96"/>
        <v>0</v>
      </c>
      <c r="K257" s="94">
        <f t="shared" si="96"/>
        <v>0</v>
      </c>
      <c r="L257" s="474">
        <f t="shared" si="96"/>
        <v>3820.462</v>
      </c>
      <c r="M257" s="482">
        <f t="shared" si="96"/>
        <v>957.483</v>
      </c>
      <c r="N257" s="494">
        <f t="shared" si="96"/>
        <v>0</v>
      </c>
      <c r="O257" s="70"/>
    </row>
    <row r="258" spans="1:15" ht="25.5">
      <c r="A258" s="63"/>
      <c r="B258" s="63"/>
      <c r="C258" s="1" t="s">
        <v>209</v>
      </c>
      <c r="D258" s="1"/>
      <c r="E258" s="49" t="s">
        <v>3</v>
      </c>
      <c r="F258" s="74">
        <f t="shared" si="95"/>
        <v>4777.945</v>
      </c>
      <c r="G258" s="452">
        <f>G259</f>
        <v>0</v>
      </c>
      <c r="H258" s="142">
        <f t="shared" si="96"/>
        <v>0</v>
      </c>
      <c r="I258" s="462">
        <f t="shared" si="96"/>
        <v>0</v>
      </c>
      <c r="J258" s="90">
        <f t="shared" si="96"/>
        <v>0</v>
      </c>
      <c r="K258" s="94">
        <f t="shared" si="96"/>
        <v>0</v>
      </c>
      <c r="L258" s="474">
        <f t="shared" si="96"/>
        <v>3820.462</v>
      </c>
      <c r="M258" s="482">
        <f t="shared" si="96"/>
        <v>957.483</v>
      </c>
      <c r="N258" s="494">
        <f t="shared" si="96"/>
        <v>0</v>
      </c>
      <c r="O258" s="70"/>
    </row>
    <row r="259" spans="1:15" ht="12.75">
      <c r="A259" s="63"/>
      <c r="B259" s="63"/>
      <c r="C259" s="59" t="s">
        <v>177</v>
      </c>
      <c r="D259" s="1"/>
      <c r="E259" s="16" t="s">
        <v>166</v>
      </c>
      <c r="F259" s="74">
        <f t="shared" si="95"/>
        <v>4777.945</v>
      </c>
      <c r="G259" s="452">
        <f>G260</f>
        <v>0</v>
      </c>
      <c r="H259" s="142">
        <f t="shared" si="96"/>
        <v>0</v>
      </c>
      <c r="I259" s="462">
        <f t="shared" si="96"/>
        <v>0</v>
      </c>
      <c r="J259" s="90">
        <f t="shared" si="96"/>
        <v>0</v>
      </c>
      <c r="K259" s="94">
        <f t="shared" si="96"/>
        <v>0</v>
      </c>
      <c r="L259" s="474">
        <f t="shared" si="96"/>
        <v>3820.462</v>
      </c>
      <c r="M259" s="482">
        <f t="shared" si="96"/>
        <v>957.483</v>
      </c>
      <c r="N259" s="494">
        <f t="shared" si="96"/>
        <v>0</v>
      </c>
      <c r="O259" s="70"/>
    </row>
    <row r="260" spans="1:15" ht="12.75">
      <c r="A260" s="63"/>
      <c r="B260" s="63"/>
      <c r="C260" s="59"/>
      <c r="D260" s="1" t="s">
        <v>210</v>
      </c>
      <c r="E260" s="16" t="s">
        <v>211</v>
      </c>
      <c r="F260" s="74">
        <f t="shared" si="95"/>
        <v>4777.945</v>
      </c>
      <c r="G260" s="452">
        <f>G261</f>
        <v>0</v>
      </c>
      <c r="H260" s="142">
        <f t="shared" si="96"/>
        <v>0</v>
      </c>
      <c r="I260" s="462">
        <f t="shared" si="96"/>
        <v>0</v>
      </c>
      <c r="J260" s="90">
        <f t="shared" si="96"/>
        <v>0</v>
      </c>
      <c r="K260" s="94">
        <f t="shared" si="96"/>
        <v>0</v>
      </c>
      <c r="L260" s="474">
        <f t="shared" si="96"/>
        <v>3820.462</v>
      </c>
      <c r="M260" s="482">
        <f t="shared" si="96"/>
        <v>957.483</v>
      </c>
      <c r="N260" s="494">
        <f t="shared" si="96"/>
        <v>0</v>
      </c>
      <c r="O260" s="70"/>
    </row>
    <row r="261" spans="1:15" ht="12.75">
      <c r="A261" s="63"/>
      <c r="B261" s="63"/>
      <c r="C261" s="59"/>
      <c r="D261" s="1" t="s">
        <v>8</v>
      </c>
      <c r="E261" s="16" t="s">
        <v>216</v>
      </c>
      <c r="F261" s="74">
        <f t="shared" si="95"/>
        <v>4777.945</v>
      </c>
      <c r="G261" s="452"/>
      <c r="H261" s="142"/>
      <c r="I261" s="462"/>
      <c r="J261" s="90"/>
      <c r="K261" s="94"/>
      <c r="L261" s="474">
        <v>3820.462</v>
      </c>
      <c r="M261" s="482">
        <v>957.483</v>
      </c>
      <c r="N261" s="494"/>
      <c r="O261" s="70"/>
    </row>
    <row r="262" spans="1:15" ht="12.75">
      <c r="A262" s="63"/>
      <c r="B262" s="63"/>
      <c r="C262" s="1" t="s">
        <v>54</v>
      </c>
      <c r="D262" s="1"/>
      <c r="E262" s="16" t="s">
        <v>55</v>
      </c>
      <c r="F262" s="74">
        <f t="shared" si="95"/>
        <v>0</v>
      </c>
      <c r="G262" s="452">
        <f aca="true" t="shared" si="97" ref="G262:N262">G263</f>
        <v>0</v>
      </c>
      <c r="H262" s="142">
        <f t="shared" si="97"/>
        <v>0</v>
      </c>
      <c r="I262" s="462">
        <f t="shared" si="97"/>
        <v>0</v>
      </c>
      <c r="J262" s="90">
        <f t="shared" si="97"/>
        <v>0</v>
      </c>
      <c r="K262" s="94">
        <f t="shared" si="97"/>
        <v>0</v>
      </c>
      <c r="L262" s="474">
        <f t="shared" si="97"/>
        <v>0</v>
      </c>
      <c r="M262" s="482">
        <f t="shared" si="97"/>
        <v>0</v>
      </c>
      <c r="N262" s="494">
        <f t="shared" si="97"/>
        <v>0</v>
      </c>
      <c r="O262" s="70"/>
    </row>
    <row r="263" spans="1:15" ht="12.75">
      <c r="A263" s="63"/>
      <c r="B263" s="63"/>
      <c r="C263" s="1" t="s">
        <v>56</v>
      </c>
      <c r="D263" s="1"/>
      <c r="E263" s="16" t="s">
        <v>57</v>
      </c>
      <c r="F263" s="74">
        <f t="shared" si="95"/>
        <v>0</v>
      </c>
      <c r="G263" s="452">
        <f aca="true" t="shared" si="98" ref="G263:N263">G264+G267</f>
        <v>0</v>
      </c>
      <c r="H263" s="142">
        <f t="shared" si="98"/>
        <v>0</v>
      </c>
      <c r="I263" s="462">
        <f t="shared" si="98"/>
        <v>0</v>
      </c>
      <c r="J263" s="90">
        <f t="shared" si="98"/>
        <v>0</v>
      </c>
      <c r="K263" s="94">
        <f t="shared" si="98"/>
        <v>0</v>
      </c>
      <c r="L263" s="474">
        <f t="shared" si="98"/>
        <v>0</v>
      </c>
      <c r="M263" s="482">
        <f t="shared" si="98"/>
        <v>0</v>
      </c>
      <c r="N263" s="494">
        <f t="shared" si="98"/>
        <v>0</v>
      </c>
      <c r="O263" s="70"/>
    </row>
    <row r="264" spans="1:15" ht="13.5" customHeight="1">
      <c r="A264" s="63"/>
      <c r="B264" s="63"/>
      <c r="C264" s="1" t="s">
        <v>58</v>
      </c>
      <c r="D264" s="1"/>
      <c r="E264" s="16" t="s">
        <v>220</v>
      </c>
      <c r="F264" s="74">
        <f t="shared" si="95"/>
        <v>-1000</v>
      </c>
      <c r="G264" s="452">
        <f>G265</f>
        <v>0</v>
      </c>
      <c r="H264" s="142">
        <f aca="true" t="shared" si="99" ref="H264:L265">H265</f>
        <v>-1000</v>
      </c>
      <c r="I264" s="462">
        <f t="shared" si="99"/>
        <v>0</v>
      </c>
      <c r="J264" s="90">
        <f t="shared" si="99"/>
        <v>0</v>
      </c>
      <c r="K264" s="94">
        <f t="shared" si="99"/>
        <v>0</v>
      </c>
      <c r="L264" s="474">
        <f t="shared" si="99"/>
        <v>0</v>
      </c>
      <c r="M264" s="482">
        <f>M265</f>
        <v>0</v>
      </c>
      <c r="N264" s="494">
        <f>N265</f>
        <v>0</v>
      </c>
      <c r="O264" s="70"/>
    </row>
    <row r="265" spans="1:15" ht="12.75">
      <c r="A265" s="63"/>
      <c r="B265" s="63"/>
      <c r="C265" s="1"/>
      <c r="D265" s="1" t="s">
        <v>210</v>
      </c>
      <c r="E265" s="16" t="s">
        <v>211</v>
      </c>
      <c r="F265" s="74">
        <f t="shared" si="95"/>
        <v>-1000</v>
      </c>
      <c r="G265" s="452">
        <f>G266</f>
        <v>0</v>
      </c>
      <c r="H265" s="142">
        <f t="shared" si="99"/>
        <v>-1000</v>
      </c>
      <c r="I265" s="462">
        <f t="shared" si="99"/>
        <v>0</v>
      </c>
      <c r="J265" s="90">
        <f t="shared" si="99"/>
        <v>0</v>
      </c>
      <c r="K265" s="94">
        <f t="shared" si="99"/>
        <v>0</v>
      </c>
      <c r="L265" s="474">
        <f t="shared" si="99"/>
        <v>0</v>
      </c>
      <c r="M265" s="482">
        <f>M266</f>
        <v>0</v>
      </c>
      <c r="N265" s="494">
        <f>N266</f>
        <v>0</v>
      </c>
      <c r="O265" s="70"/>
    </row>
    <row r="266" spans="1:15" ht="12.75">
      <c r="A266" s="63"/>
      <c r="B266" s="63"/>
      <c r="C266" s="1"/>
      <c r="D266" s="1" t="s">
        <v>8</v>
      </c>
      <c r="E266" s="16" t="s">
        <v>216</v>
      </c>
      <c r="F266" s="74">
        <f t="shared" si="95"/>
        <v>-1000</v>
      </c>
      <c r="G266" s="452"/>
      <c r="H266" s="142">
        <v>-1000</v>
      </c>
      <c r="I266" s="462"/>
      <c r="J266" s="90"/>
      <c r="K266" s="94"/>
      <c r="L266" s="474"/>
      <c r="M266" s="482"/>
      <c r="N266" s="494"/>
      <c r="O266" s="70"/>
    </row>
    <row r="267" spans="1:15" ht="25.5">
      <c r="A267" s="63"/>
      <c r="B267" s="63"/>
      <c r="C267" s="59" t="s">
        <v>287</v>
      </c>
      <c r="D267" s="1"/>
      <c r="E267" s="16" t="s">
        <v>185</v>
      </c>
      <c r="F267" s="74">
        <f t="shared" si="95"/>
        <v>1000</v>
      </c>
      <c r="G267" s="452">
        <f>G268</f>
        <v>0</v>
      </c>
      <c r="H267" s="142">
        <f aca="true" t="shared" si="100" ref="H267:L268">H268</f>
        <v>1000</v>
      </c>
      <c r="I267" s="462">
        <f t="shared" si="100"/>
        <v>0</v>
      </c>
      <c r="J267" s="90">
        <f t="shared" si="100"/>
        <v>0</v>
      </c>
      <c r="K267" s="94">
        <f t="shared" si="100"/>
        <v>0</v>
      </c>
      <c r="L267" s="474">
        <f t="shared" si="100"/>
        <v>0</v>
      </c>
      <c r="M267" s="482">
        <f>M268</f>
        <v>0</v>
      </c>
      <c r="N267" s="494">
        <f>N268</f>
        <v>0</v>
      </c>
      <c r="O267" s="70"/>
    </row>
    <row r="268" spans="1:15" ht="12.75">
      <c r="A268" s="63"/>
      <c r="B268" s="63"/>
      <c r="C268" s="59"/>
      <c r="D268" s="1" t="s">
        <v>210</v>
      </c>
      <c r="E268" s="16" t="s">
        <v>211</v>
      </c>
      <c r="F268" s="74">
        <f t="shared" si="95"/>
        <v>1000</v>
      </c>
      <c r="G268" s="452">
        <f>G269</f>
        <v>0</v>
      </c>
      <c r="H268" s="142">
        <f t="shared" si="100"/>
        <v>1000</v>
      </c>
      <c r="I268" s="462">
        <f t="shared" si="100"/>
        <v>0</v>
      </c>
      <c r="J268" s="90">
        <f t="shared" si="100"/>
        <v>0</v>
      </c>
      <c r="K268" s="94">
        <f t="shared" si="100"/>
        <v>0</v>
      </c>
      <c r="L268" s="474">
        <f t="shared" si="100"/>
        <v>0</v>
      </c>
      <c r="M268" s="482">
        <f>M269</f>
        <v>0</v>
      </c>
      <c r="N268" s="494">
        <f>N269</f>
        <v>0</v>
      </c>
      <c r="O268" s="70"/>
    </row>
    <row r="269" spans="1:15" ht="12.75">
      <c r="A269" s="63"/>
      <c r="B269" s="63"/>
      <c r="C269" s="59"/>
      <c r="D269" s="1" t="s">
        <v>8</v>
      </c>
      <c r="E269" s="16" t="s">
        <v>216</v>
      </c>
      <c r="F269" s="74">
        <f t="shared" si="95"/>
        <v>1000</v>
      </c>
      <c r="G269" s="452"/>
      <c r="H269" s="142">
        <v>1000</v>
      </c>
      <c r="I269" s="462"/>
      <c r="J269" s="90"/>
      <c r="K269" s="94"/>
      <c r="L269" s="474"/>
      <c r="M269" s="482"/>
      <c r="N269" s="494"/>
      <c r="O269" s="70"/>
    </row>
    <row r="270" spans="1:16" ht="12.75">
      <c r="A270" s="10"/>
      <c r="B270" s="1" t="s">
        <v>59</v>
      </c>
      <c r="C270" s="1"/>
      <c r="D270" s="1"/>
      <c r="E270" s="16" t="s">
        <v>267</v>
      </c>
      <c r="F270" s="74">
        <f t="shared" si="95"/>
        <v>14383.42</v>
      </c>
      <c r="G270" s="452">
        <f aca="true" t="shared" si="101" ref="G270:N275">G271</f>
        <v>0</v>
      </c>
      <c r="H270" s="142">
        <f t="shared" si="101"/>
        <v>14000</v>
      </c>
      <c r="I270" s="462">
        <f t="shared" si="101"/>
        <v>0</v>
      </c>
      <c r="J270" s="90">
        <f t="shared" si="101"/>
        <v>0</v>
      </c>
      <c r="K270" s="94">
        <f t="shared" si="101"/>
        <v>0</v>
      </c>
      <c r="L270" s="474">
        <f t="shared" si="101"/>
        <v>0</v>
      </c>
      <c r="M270" s="482">
        <f t="shared" si="101"/>
        <v>383.42</v>
      </c>
      <c r="N270" s="494">
        <f t="shared" si="101"/>
        <v>0</v>
      </c>
      <c r="O270" s="62"/>
      <c r="P270" s="62"/>
    </row>
    <row r="271" spans="1:16" ht="12.75">
      <c r="A271" s="10"/>
      <c r="B271" s="1" t="s">
        <v>1</v>
      </c>
      <c r="C271" s="1"/>
      <c r="D271" s="1"/>
      <c r="E271" s="16" t="s">
        <v>221</v>
      </c>
      <c r="F271" s="74">
        <f>F272+F277</f>
        <v>14383.42</v>
      </c>
      <c r="G271" s="451">
        <f aca="true" t="shared" si="102" ref="G271:N271">G272+G277</f>
        <v>0</v>
      </c>
      <c r="H271" s="141">
        <f t="shared" si="102"/>
        <v>14000</v>
      </c>
      <c r="I271" s="461">
        <f t="shared" si="102"/>
        <v>0</v>
      </c>
      <c r="J271" s="89">
        <f t="shared" si="102"/>
        <v>0</v>
      </c>
      <c r="K271" s="93">
        <f t="shared" si="102"/>
        <v>0</v>
      </c>
      <c r="L271" s="471">
        <f t="shared" si="102"/>
        <v>0</v>
      </c>
      <c r="M271" s="481">
        <f t="shared" si="102"/>
        <v>383.42</v>
      </c>
      <c r="N271" s="491">
        <f t="shared" si="102"/>
        <v>0</v>
      </c>
      <c r="O271" s="62"/>
      <c r="P271" s="62"/>
    </row>
    <row r="272" spans="1:16" ht="12.75">
      <c r="A272" s="63"/>
      <c r="B272" s="63"/>
      <c r="C272" s="1" t="s">
        <v>37</v>
      </c>
      <c r="D272" s="1"/>
      <c r="E272" s="16" t="s">
        <v>38</v>
      </c>
      <c r="F272" s="74">
        <f>G272+H272+I272+J272+K272+L272+M272+N272</f>
        <v>383.42</v>
      </c>
      <c r="G272" s="452">
        <f t="shared" si="101"/>
        <v>0</v>
      </c>
      <c r="H272" s="142">
        <f t="shared" si="101"/>
        <v>0</v>
      </c>
      <c r="I272" s="462">
        <f t="shared" si="101"/>
        <v>0</v>
      </c>
      <c r="J272" s="90">
        <f t="shared" si="101"/>
        <v>0</v>
      </c>
      <c r="K272" s="94">
        <f t="shared" si="101"/>
        <v>0</v>
      </c>
      <c r="L272" s="474">
        <f t="shared" si="101"/>
        <v>0</v>
      </c>
      <c r="M272" s="482">
        <f t="shared" si="101"/>
        <v>383.42</v>
      </c>
      <c r="N272" s="494">
        <f t="shared" si="101"/>
        <v>0</v>
      </c>
      <c r="O272" s="62"/>
      <c r="P272" s="62"/>
    </row>
    <row r="273" spans="1:15" ht="38.25">
      <c r="A273" s="63"/>
      <c r="B273" s="63"/>
      <c r="C273" s="59" t="s">
        <v>102</v>
      </c>
      <c r="D273" s="1"/>
      <c r="E273" s="16" t="s">
        <v>103</v>
      </c>
      <c r="F273" s="74">
        <f>G273+H273+I273+J273+K273+L273+M273+N273</f>
        <v>383.42</v>
      </c>
      <c r="G273" s="452">
        <f t="shared" si="101"/>
        <v>0</v>
      </c>
      <c r="H273" s="142">
        <f t="shared" si="101"/>
        <v>0</v>
      </c>
      <c r="I273" s="462">
        <f t="shared" si="101"/>
        <v>0</v>
      </c>
      <c r="J273" s="90">
        <f t="shared" si="101"/>
        <v>0</v>
      </c>
      <c r="K273" s="94">
        <f t="shared" si="101"/>
        <v>0</v>
      </c>
      <c r="L273" s="474">
        <f t="shared" si="101"/>
        <v>0</v>
      </c>
      <c r="M273" s="482">
        <f t="shared" si="101"/>
        <v>383.42</v>
      </c>
      <c r="N273" s="494">
        <f t="shared" si="101"/>
        <v>0</v>
      </c>
      <c r="O273" s="70"/>
    </row>
    <row r="274" spans="1:15" ht="12.75">
      <c r="A274" s="63"/>
      <c r="B274" s="63"/>
      <c r="C274" s="59" t="s">
        <v>315</v>
      </c>
      <c r="D274" s="1"/>
      <c r="E274" s="16" t="s">
        <v>164</v>
      </c>
      <c r="F274" s="74">
        <f>G274+H274+I274+J274+K274+L274+M274+N274</f>
        <v>383.42</v>
      </c>
      <c r="G274" s="452">
        <f t="shared" si="101"/>
        <v>0</v>
      </c>
      <c r="H274" s="142">
        <f t="shared" si="101"/>
        <v>0</v>
      </c>
      <c r="I274" s="462">
        <f t="shared" si="101"/>
        <v>0</v>
      </c>
      <c r="J274" s="90">
        <f t="shared" si="101"/>
        <v>0</v>
      </c>
      <c r="K274" s="94">
        <f t="shared" si="101"/>
        <v>0</v>
      </c>
      <c r="L274" s="474">
        <f t="shared" si="101"/>
        <v>0</v>
      </c>
      <c r="M274" s="482">
        <f t="shared" si="101"/>
        <v>383.42</v>
      </c>
      <c r="N274" s="494">
        <f t="shared" si="101"/>
        <v>0</v>
      </c>
      <c r="O274" s="70"/>
    </row>
    <row r="275" spans="1:15" ht="12.75">
      <c r="A275" s="63"/>
      <c r="B275" s="63"/>
      <c r="C275" s="59"/>
      <c r="D275" s="1" t="s">
        <v>212</v>
      </c>
      <c r="E275" s="16" t="s">
        <v>45</v>
      </c>
      <c r="F275" s="74">
        <f>G275+H275+I275+J275+K275+L275+M275+N275</f>
        <v>383.42</v>
      </c>
      <c r="G275" s="452">
        <f t="shared" si="101"/>
        <v>0</v>
      </c>
      <c r="H275" s="142">
        <f t="shared" si="101"/>
        <v>0</v>
      </c>
      <c r="I275" s="462">
        <f t="shared" si="101"/>
        <v>0</v>
      </c>
      <c r="J275" s="90">
        <f t="shared" si="101"/>
        <v>0</v>
      </c>
      <c r="K275" s="94">
        <f t="shared" si="101"/>
        <v>0</v>
      </c>
      <c r="L275" s="474">
        <f t="shared" si="101"/>
        <v>0</v>
      </c>
      <c r="M275" s="482">
        <f t="shared" si="101"/>
        <v>383.42</v>
      </c>
      <c r="N275" s="494">
        <f t="shared" si="101"/>
        <v>0</v>
      </c>
      <c r="O275" s="70"/>
    </row>
    <row r="276" spans="1:15" ht="25.5">
      <c r="A276" s="63"/>
      <c r="B276" s="63"/>
      <c r="C276" s="59"/>
      <c r="D276" s="1" t="s">
        <v>125</v>
      </c>
      <c r="E276" s="16" t="s">
        <v>290</v>
      </c>
      <c r="F276" s="74">
        <f>G276+H276+I276+J276+K276+L276+M276+N276</f>
        <v>383.42</v>
      </c>
      <c r="G276" s="452"/>
      <c r="H276" s="142"/>
      <c r="I276" s="462"/>
      <c r="J276" s="90"/>
      <c r="K276" s="94"/>
      <c r="L276" s="474"/>
      <c r="M276" s="482">
        <v>383.42</v>
      </c>
      <c r="N276" s="494"/>
      <c r="O276" s="70"/>
    </row>
    <row r="277" spans="1:15" ht="12.75">
      <c r="A277" s="63"/>
      <c r="B277" s="63"/>
      <c r="C277" s="59" t="s">
        <v>54</v>
      </c>
      <c r="D277" s="1"/>
      <c r="E277" s="16" t="s">
        <v>55</v>
      </c>
      <c r="F277" s="74">
        <f>F278</f>
        <v>14000</v>
      </c>
      <c r="G277" s="451">
        <f aca="true" t="shared" si="103" ref="G277:N281">G278</f>
        <v>0</v>
      </c>
      <c r="H277" s="141">
        <f t="shared" si="103"/>
        <v>14000</v>
      </c>
      <c r="I277" s="461">
        <f t="shared" si="103"/>
        <v>0</v>
      </c>
      <c r="J277" s="89">
        <f t="shared" si="103"/>
        <v>0</v>
      </c>
      <c r="K277" s="93">
        <f t="shared" si="103"/>
        <v>0</v>
      </c>
      <c r="L277" s="471">
        <f t="shared" si="103"/>
        <v>0</v>
      </c>
      <c r="M277" s="481">
        <f t="shared" si="103"/>
        <v>0</v>
      </c>
      <c r="N277" s="491">
        <f t="shared" si="103"/>
        <v>0</v>
      </c>
      <c r="O277" s="70"/>
    </row>
    <row r="278" spans="1:15" ht="12.75">
      <c r="A278" s="63"/>
      <c r="B278" s="63"/>
      <c r="C278" s="59" t="s">
        <v>361</v>
      </c>
      <c r="D278" s="1"/>
      <c r="E278" s="16" t="s">
        <v>363</v>
      </c>
      <c r="F278" s="74">
        <f>F279</f>
        <v>14000</v>
      </c>
      <c r="G278" s="451">
        <f t="shared" si="103"/>
        <v>0</v>
      </c>
      <c r="H278" s="141">
        <f t="shared" si="103"/>
        <v>14000</v>
      </c>
      <c r="I278" s="461">
        <f t="shared" si="103"/>
        <v>0</v>
      </c>
      <c r="J278" s="89">
        <f t="shared" si="103"/>
        <v>0</v>
      </c>
      <c r="K278" s="93">
        <f t="shared" si="103"/>
        <v>0</v>
      </c>
      <c r="L278" s="471">
        <f t="shared" si="103"/>
        <v>0</v>
      </c>
      <c r="M278" s="481">
        <f t="shared" si="103"/>
        <v>0</v>
      </c>
      <c r="N278" s="491">
        <f t="shared" si="103"/>
        <v>0</v>
      </c>
      <c r="O278" s="70"/>
    </row>
    <row r="279" spans="1:15" ht="12.75">
      <c r="A279" s="63"/>
      <c r="B279" s="63"/>
      <c r="C279" s="59" t="s">
        <v>362</v>
      </c>
      <c r="D279" s="1"/>
      <c r="E279" s="16" t="s">
        <v>364</v>
      </c>
      <c r="F279" s="74">
        <f>F280</f>
        <v>14000</v>
      </c>
      <c r="G279" s="74">
        <f t="shared" si="103"/>
        <v>0</v>
      </c>
      <c r="H279" s="74">
        <f t="shared" si="103"/>
        <v>14000</v>
      </c>
      <c r="I279" s="74">
        <f t="shared" si="103"/>
        <v>0</v>
      </c>
      <c r="J279" s="74">
        <f t="shared" si="103"/>
        <v>0</v>
      </c>
      <c r="K279" s="74">
        <f t="shared" si="103"/>
        <v>0</v>
      </c>
      <c r="L279" s="74">
        <f t="shared" si="103"/>
        <v>0</v>
      </c>
      <c r="M279" s="74">
        <f t="shared" si="103"/>
        <v>0</v>
      </c>
      <c r="N279" s="74">
        <f t="shared" si="103"/>
        <v>0</v>
      </c>
      <c r="O279" s="70"/>
    </row>
    <row r="280" spans="1:15" ht="12.75">
      <c r="A280" s="63"/>
      <c r="B280" s="63"/>
      <c r="C280" s="59"/>
      <c r="D280" s="1"/>
      <c r="E280" s="16" t="s">
        <v>1198</v>
      </c>
      <c r="F280" s="74">
        <f>F281</f>
        <v>14000</v>
      </c>
      <c r="G280" s="74">
        <f t="shared" si="103"/>
        <v>0</v>
      </c>
      <c r="H280" s="74">
        <f t="shared" si="103"/>
        <v>14000</v>
      </c>
      <c r="I280" s="74">
        <f t="shared" si="103"/>
        <v>0</v>
      </c>
      <c r="J280" s="74">
        <f t="shared" si="103"/>
        <v>0</v>
      </c>
      <c r="K280" s="74">
        <f t="shared" si="103"/>
        <v>0</v>
      </c>
      <c r="L280" s="74">
        <f t="shared" si="103"/>
        <v>0</v>
      </c>
      <c r="M280" s="74">
        <f t="shared" si="103"/>
        <v>0</v>
      </c>
      <c r="N280" s="74">
        <f t="shared" si="103"/>
        <v>0</v>
      </c>
      <c r="O280" s="70"/>
    </row>
    <row r="281" spans="1:15" ht="12.75">
      <c r="A281" s="63"/>
      <c r="B281" s="63"/>
      <c r="C281" s="59"/>
      <c r="D281" s="1" t="s">
        <v>210</v>
      </c>
      <c r="E281" s="16" t="s">
        <v>211</v>
      </c>
      <c r="F281" s="74">
        <f>F282</f>
        <v>14000</v>
      </c>
      <c r="G281" s="451">
        <f t="shared" si="103"/>
        <v>0</v>
      </c>
      <c r="H281" s="141">
        <f t="shared" si="103"/>
        <v>14000</v>
      </c>
      <c r="I281" s="461">
        <f t="shared" si="103"/>
        <v>0</v>
      </c>
      <c r="J281" s="89">
        <f t="shared" si="103"/>
        <v>0</v>
      </c>
      <c r="K281" s="93">
        <f t="shared" si="103"/>
        <v>0</v>
      </c>
      <c r="L281" s="471">
        <f t="shared" si="103"/>
        <v>0</v>
      </c>
      <c r="M281" s="481">
        <f t="shared" si="103"/>
        <v>0</v>
      </c>
      <c r="N281" s="491">
        <f t="shared" si="103"/>
        <v>0</v>
      </c>
      <c r="O281" s="70"/>
    </row>
    <row r="282" spans="1:15" ht="12.75">
      <c r="A282" s="63"/>
      <c r="B282" s="63"/>
      <c r="C282" s="59"/>
      <c r="D282" s="1" t="s">
        <v>8</v>
      </c>
      <c r="E282" s="16" t="s">
        <v>216</v>
      </c>
      <c r="F282" s="74">
        <f>G282+H282+I282+J282+K282+L282+M282+N282</f>
        <v>14000</v>
      </c>
      <c r="G282" s="452"/>
      <c r="H282" s="142">
        <v>14000</v>
      </c>
      <c r="I282" s="462"/>
      <c r="J282" s="90"/>
      <c r="K282" s="94"/>
      <c r="L282" s="474"/>
      <c r="M282" s="482"/>
      <c r="N282" s="494"/>
      <c r="O282" s="70"/>
    </row>
    <row r="283" spans="1:15" ht="12.75">
      <c r="A283" s="63"/>
      <c r="B283" s="83" t="s">
        <v>60</v>
      </c>
      <c r="C283" s="59"/>
      <c r="D283" s="1"/>
      <c r="E283" s="5" t="s">
        <v>265</v>
      </c>
      <c r="F283" s="74">
        <f>F284</f>
        <v>9864.886999999999</v>
      </c>
      <c r="G283" s="451">
        <f aca="true" t="shared" si="104" ref="G283:N287">G284</f>
        <v>0</v>
      </c>
      <c r="H283" s="141">
        <f t="shared" si="104"/>
        <v>10000</v>
      </c>
      <c r="I283" s="461">
        <f t="shared" si="104"/>
        <v>-5585.113</v>
      </c>
      <c r="J283" s="89">
        <f t="shared" si="104"/>
        <v>0</v>
      </c>
      <c r="K283" s="93">
        <f t="shared" si="104"/>
        <v>0</v>
      </c>
      <c r="L283" s="471">
        <f t="shared" si="104"/>
        <v>5450</v>
      </c>
      <c r="M283" s="481">
        <f t="shared" si="104"/>
        <v>0</v>
      </c>
      <c r="N283" s="491">
        <f t="shared" si="104"/>
        <v>0</v>
      </c>
      <c r="O283" s="70"/>
    </row>
    <row r="284" spans="1:15" ht="12.75">
      <c r="A284" s="63"/>
      <c r="B284" s="83" t="s">
        <v>61</v>
      </c>
      <c r="C284" s="59"/>
      <c r="D284" s="1"/>
      <c r="E284" s="16" t="s">
        <v>62</v>
      </c>
      <c r="F284" s="74">
        <f>F285+F296+F301</f>
        <v>9864.886999999999</v>
      </c>
      <c r="G284" s="74">
        <f aca="true" t="shared" si="105" ref="G284:N284">G285+G296+G301</f>
        <v>0</v>
      </c>
      <c r="H284" s="74">
        <f t="shared" si="105"/>
        <v>10000</v>
      </c>
      <c r="I284" s="74">
        <f t="shared" si="105"/>
        <v>-5585.113</v>
      </c>
      <c r="J284" s="74">
        <f t="shared" si="105"/>
        <v>0</v>
      </c>
      <c r="K284" s="74">
        <f t="shared" si="105"/>
        <v>0</v>
      </c>
      <c r="L284" s="74">
        <f t="shared" si="105"/>
        <v>5450</v>
      </c>
      <c r="M284" s="74">
        <f t="shared" si="105"/>
        <v>0</v>
      </c>
      <c r="N284" s="74">
        <f t="shared" si="105"/>
        <v>0</v>
      </c>
      <c r="O284" s="70"/>
    </row>
    <row r="285" spans="1:15" ht="25.5">
      <c r="A285" s="63"/>
      <c r="B285" s="63"/>
      <c r="C285" s="59" t="s">
        <v>323</v>
      </c>
      <c r="D285" s="1"/>
      <c r="E285" s="16" t="s">
        <v>329</v>
      </c>
      <c r="F285" s="74">
        <f>F286</f>
        <v>-5585.113</v>
      </c>
      <c r="G285" s="451">
        <f t="shared" si="104"/>
        <v>0</v>
      </c>
      <c r="H285" s="141">
        <f t="shared" si="104"/>
        <v>0</v>
      </c>
      <c r="I285" s="461">
        <f t="shared" si="104"/>
        <v>-5585.113</v>
      </c>
      <c r="J285" s="89">
        <f t="shared" si="104"/>
        <v>0</v>
      </c>
      <c r="K285" s="93">
        <f t="shared" si="104"/>
        <v>0</v>
      </c>
      <c r="L285" s="471">
        <f t="shared" si="104"/>
        <v>0</v>
      </c>
      <c r="M285" s="481">
        <f t="shared" si="104"/>
        <v>0</v>
      </c>
      <c r="N285" s="491">
        <f t="shared" si="104"/>
        <v>0</v>
      </c>
      <c r="O285" s="70"/>
    </row>
    <row r="286" spans="1:15" ht="12.75">
      <c r="A286" s="63"/>
      <c r="B286" s="63"/>
      <c r="C286" s="59" t="s">
        <v>324</v>
      </c>
      <c r="D286" s="1"/>
      <c r="E286" s="16" t="s">
        <v>330</v>
      </c>
      <c r="F286" s="74">
        <f>F287</f>
        <v>-5585.113</v>
      </c>
      <c r="G286" s="451">
        <f t="shared" si="104"/>
        <v>0</v>
      </c>
      <c r="H286" s="141">
        <f t="shared" si="104"/>
        <v>0</v>
      </c>
      <c r="I286" s="461">
        <f t="shared" si="104"/>
        <v>-5585.113</v>
      </c>
      <c r="J286" s="89">
        <f t="shared" si="104"/>
        <v>0</v>
      </c>
      <c r="K286" s="93">
        <f t="shared" si="104"/>
        <v>0</v>
      </c>
      <c r="L286" s="471">
        <f t="shared" si="104"/>
        <v>0</v>
      </c>
      <c r="M286" s="481">
        <f t="shared" si="104"/>
        <v>0</v>
      </c>
      <c r="N286" s="491">
        <f t="shared" si="104"/>
        <v>0</v>
      </c>
      <c r="O286" s="70"/>
    </row>
    <row r="287" spans="1:15" ht="12.75">
      <c r="A287" s="63"/>
      <c r="B287" s="63"/>
      <c r="C287" s="59"/>
      <c r="D287" s="1" t="s">
        <v>212</v>
      </c>
      <c r="E287" s="16" t="s">
        <v>45</v>
      </c>
      <c r="F287" s="74">
        <f>F288</f>
        <v>-5585.113</v>
      </c>
      <c r="G287" s="451">
        <f t="shared" si="104"/>
        <v>0</v>
      </c>
      <c r="H287" s="141">
        <f t="shared" si="104"/>
        <v>0</v>
      </c>
      <c r="I287" s="461">
        <f t="shared" si="104"/>
        <v>-5585.113</v>
      </c>
      <c r="J287" s="89">
        <f t="shared" si="104"/>
        <v>0</v>
      </c>
      <c r="K287" s="93">
        <f t="shared" si="104"/>
        <v>0</v>
      </c>
      <c r="L287" s="471">
        <f t="shared" si="104"/>
        <v>0</v>
      </c>
      <c r="M287" s="481">
        <f t="shared" si="104"/>
        <v>0</v>
      </c>
      <c r="N287" s="491">
        <f t="shared" si="104"/>
        <v>0</v>
      </c>
      <c r="O287" s="70"/>
    </row>
    <row r="288" spans="1:15" ht="25.5">
      <c r="A288" s="63"/>
      <c r="B288" s="63"/>
      <c r="C288" s="59"/>
      <c r="D288" s="1" t="s">
        <v>125</v>
      </c>
      <c r="E288" s="16" t="s">
        <v>372</v>
      </c>
      <c r="F288" s="74">
        <f>SUM(F289:F295)</f>
        <v>-5585.113</v>
      </c>
      <c r="G288" s="74">
        <f aca="true" t="shared" si="106" ref="G288:N288">SUM(G289:G295)</f>
        <v>0</v>
      </c>
      <c r="H288" s="74">
        <f t="shared" si="106"/>
        <v>0</v>
      </c>
      <c r="I288" s="74">
        <f t="shared" si="106"/>
        <v>-5585.113</v>
      </c>
      <c r="J288" s="74">
        <f t="shared" si="106"/>
        <v>0</v>
      </c>
      <c r="K288" s="74">
        <f t="shared" si="106"/>
        <v>0</v>
      </c>
      <c r="L288" s="74">
        <f t="shared" si="106"/>
        <v>0</v>
      </c>
      <c r="M288" s="74">
        <f t="shared" si="106"/>
        <v>0</v>
      </c>
      <c r="N288" s="74">
        <f t="shared" si="106"/>
        <v>0</v>
      </c>
      <c r="O288" s="70"/>
    </row>
    <row r="289" spans="1:15" ht="12.75">
      <c r="A289" s="63"/>
      <c r="B289" s="63"/>
      <c r="C289" s="59" t="s">
        <v>1199</v>
      </c>
      <c r="D289" s="1"/>
      <c r="E289" s="16" t="s">
        <v>1200</v>
      </c>
      <c r="F289" s="74">
        <f>G289+H289+I289+J289+K289+L289+M289+N289</f>
        <v>-5450</v>
      </c>
      <c r="G289" s="74"/>
      <c r="H289" s="74"/>
      <c r="I289" s="74">
        <v>-5450</v>
      </c>
      <c r="J289" s="74"/>
      <c r="K289" s="74"/>
      <c r="L289" s="74"/>
      <c r="M289" s="74"/>
      <c r="N289" s="74"/>
      <c r="O289" s="70"/>
    </row>
    <row r="290" spans="1:15" ht="12.75">
      <c r="A290" s="63"/>
      <c r="B290" s="63"/>
      <c r="C290" s="59" t="s">
        <v>392</v>
      </c>
      <c r="D290" s="1"/>
      <c r="E290" s="16" t="s">
        <v>396</v>
      </c>
      <c r="F290" s="74">
        <f aca="true" t="shared" si="107" ref="F290:F295">G290+H290+I290+J290+K290+L290+M290+N290</f>
        <v>-278.371</v>
      </c>
      <c r="G290" s="452"/>
      <c r="H290" s="142"/>
      <c r="I290" s="462">
        <v>-278.371</v>
      </c>
      <c r="J290" s="90"/>
      <c r="K290" s="94"/>
      <c r="L290" s="474"/>
      <c r="M290" s="482"/>
      <c r="N290" s="494"/>
      <c r="O290" s="70"/>
    </row>
    <row r="291" spans="1:15" ht="12.75">
      <c r="A291" s="63"/>
      <c r="B291" s="63"/>
      <c r="C291" s="59" t="s">
        <v>393</v>
      </c>
      <c r="D291" s="1"/>
      <c r="E291" s="16" t="s">
        <v>397</v>
      </c>
      <c r="F291" s="74">
        <f t="shared" si="107"/>
        <v>-278.371</v>
      </c>
      <c r="G291" s="452"/>
      <c r="H291" s="142"/>
      <c r="I291" s="462">
        <v>-278.371</v>
      </c>
      <c r="J291" s="90"/>
      <c r="K291" s="94"/>
      <c r="L291" s="474"/>
      <c r="M291" s="482"/>
      <c r="N291" s="494"/>
      <c r="O291" s="70"/>
    </row>
    <row r="292" spans="1:15" ht="12.75">
      <c r="A292" s="63"/>
      <c r="B292" s="63"/>
      <c r="C292" s="59" t="s">
        <v>394</v>
      </c>
      <c r="D292" s="1"/>
      <c r="E292" s="16" t="s">
        <v>398</v>
      </c>
      <c r="F292" s="74">
        <f t="shared" si="107"/>
        <v>700</v>
      </c>
      <c r="G292" s="452"/>
      <c r="H292" s="142"/>
      <c r="I292" s="462">
        <v>700</v>
      </c>
      <c r="J292" s="90"/>
      <c r="K292" s="94"/>
      <c r="L292" s="474"/>
      <c r="M292" s="482"/>
      <c r="N292" s="494"/>
      <c r="O292" s="70"/>
    </row>
    <row r="293" spans="1:15" ht="12.75">
      <c r="A293" s="63"/>
      <c r="B293" s="63"/>
      <c r="C293" s="59" t="s">
        <v>395</v>
      </c>
      <c r="D293" s="1"/>
      <c r="E293" s="16" t="s">
        <v>399</v>
      </c>
      <c r="F293" s="74">
        <f t="shared" si="107"/>
        <v>-278.371</v>
      </c>
      <c r="G293" s="452"/>
      <c r="H293" s="142"/>
      <c r="I293" s="462">
        <v>-278.371</v>
      </c>
      <c r="J293" s="90"/>
      <c r="K293" s="94"/>
      <c r="L293" s="474"/>
      <c r="M293" s="482"/>
      <c r="N293" s="494"/>
      <c r="O293" s="70"/>
    </row>
    <row r="294" spans="1:15" ht="12.75">
      <c r="A294" s="63"/>
      <c r="B294" s="63"/>
      <c r="C294" s="1" t="s">
        <v>1164</v>
      </c>
      <c r="D294" s="1"/>
      <c r="E294" s="16" t="s">
        <v>867</v>
      </c>
      <c r="F294" s="74">
        <f t="shared" si="107"/>
        <v>-1200</v>
      </c>
      <c r="G294" s="452"/>
      <c r="H294" s="142"/>
      <c r="I294" s="462"/>
      <c r="J294" s="90"/>
      <c r="K294" s="94"/>
      <c r="L294" s="474"/>
      <c r="M294" s="482"/>
      <c r="N294" s="494">
        <v>-1200</v>
      </c>
      <c r="O294" s="70"/>
    </row>
    <row r="295" spans="1:15" ht="12.75">
      <c r="A295" s="63"/>
      <c r="B295" s="63"/>
      <c r="C295" s="1" t="s">
        <v>1164</v>
      </c>
      <c r="D295" s="1"/>
      <c r="E295" s="16" t="s">
        <v>1154</v>
      </c>
      <c r="F295" s="74">
        <f t="shared" si="107"/>
        <v>1200</v>
      </c>
      <c r="G295" s="452"/>
      <c r="H295" s="142"/>
      <c r="I295" s="462"/>
      <c r="J295" s="90"/>
      <c r="K295" s="94"/>
      <c r="L295" s="474"/>
      <c r="M295" s="482"/>
      <c r="N295" s="494">
        <v>1200</v>
      </c>
      <c r="O295" s="70"/>
    </row>
    <row r="296" spans="1:15" ht="12.75">
      <c r="A296" s="63"/>
      <c r="B296" s="63"/>
      <c r="C296" s="1" t="s">
        <v>37</v>
      </c>
      <c r="D296" s="1"/>
      <c r="E296" s="16" t="s">
        <v>38</v>
      </c>
      <c r="F296" s="74">
        <f>F297</f>
        <v>5450</v>
      </c>
      <c r="G296" s="74">
        <f aca="true" t="shared" si="108" ref="G296:N299">G297</f>
        <v>0</v>
      </c>
      <c r="H296" s="74">
        <f t="shared" si="108"/>
        <v>0</v>
      </c>
      <c r="I296" s="74">
        <f t="shared" si="108"/>
        <v>0</v>
      </c>
      <c r="J296" s="74">
        <f t="shared" si="108"/>
        <v>0</v>
      </c>
      <c r="K296" s="74">
        <f t="shared" si="108"/>
        <v>0</v>
      </c>
      <c r="L296" s="74">
        <f t="shared" si="108"/>
        <v>5450</v>
      </c>
      <c r="M296" s="74">
        <f t="shared" si="108"/>
        <v>0</v>
      </c>
      <c r="N296" s="74">
        <f t="shared" si="108"/>
        <v>0</v>
      </c>
      <c r="O296" s="70"/>
    </row>
    <row r="297" spans="1:15" ht="25.5">
      <c r="A297" s="63"/>
      <c r="B297" s="63"/>
      <c r="C297" s="1" t="s">
        <v>209</v>
      </c>
      <c r="D297" s="1"/>
      <c r="E297" s="49" t="s">
        <v>3</v>
      </c>
      <c r="F297" s="74">
        <f>F298</f>
        <v>5450</v>
      </c>
      <c r="G297" s="74">
        <f t="shared" si="108"/>
        <v>0</v>
      </c>
      <c r="H297" s="74">
        <f t="shared" si="108"/>
        <v>0</v>
      </c>
      <c r="I297" s="74">
        <f t="shared" si="108"/>
        <v>0</v>
      </c>
      <c r="J297" s="74">
        <f t="shared" si="108"/>
        <v>0</v>
      </c>
      <c r="K297" s="74">
        <f t="shared" si="108"/>
        <v>0</v>
      </c>
      <c r="L297" s="74">
        <f t="shared" si="108"/>
        <v>5450</v>
      </c>
      <c r="M297" s="74">
        <f t="shared" si="108"/>
        <v>0</v>
      </c>
      <c r="N297" s="74">
        <f t="shared" si="108"/>
        <v>0</v>
      </c>
      <c r="O297" s="70"/>
    </row>
    <row r="298" spans="1:15" ht="12.75">
      <c r="A298" s="63"/>
      <c r="B298" s="63"/>
      <c r="C298" s="1"/>
      <c r="D298" s="1"/>
      <c r="E298" s="16" t="s">
        <v>1200</v>
      </c>
      <c r="F298" s="74">
        <f>F299</f>
        <v>5450</v>
      </c>
      <c r="G298" s="74">
        <f t="shared" si="108"/>
        <v>0</v>
      </c>
      <c r="H298" s="74">
        <f t="shared" si="108"/>
        <v>0</v>
      </c>
      <c r="I298" s="74">
        <f t="shared" si="108"/>
        <v>0</v>
      </c>
      <c r="J298" s="74">
        <f t="shared" si="108"/>
        <v>0</v>
      </c>
      <c r="K298" s="74">
        <f t="shared" si="108"/>
        <v>0</v>
      </c>
      <c r="L298" s="74">
        <f t="shared" si="108"/>
        <v>5450</v>
      </c>
      <c r="M298" s="74">
        <f t="shared" si="108"/>
        <v>0</v>
      </c>
      <c r="N298" s="74">
        <f t="shared" si="108"/>
        <v>0</v>
      </c>
      <c r="O298" s="70"/>
    </row>
    <row r="299" spans="1:15" ht="12.75">
      <c r="A299" s="63"/>
      <c r="B299" s="63"/>
      <c r="C299" s="1"/>
      <c r="D299" s="1" t="s">
        <v>212</v>
      </c>
      <c r="E299" s="16" t="s">
        <v>45</v>
      </c>
      <c r="F299" s="74">
        <f>F300</f>
        <v>5450</v>
      </c>
      <c r="G299" s="74">
        <f t="shared" si="108"/>
        <v>0</v>
      </c>
      <c r="H299" s="74">
        <f t="shared" si="108"/>
        <v>0</v>
      </c>
      <c r="I299" s="74">
        <f t="shared" si="108"/>
        <v>0</v>
      </c>
      <c r="J299" s="74">
        <f t="shared" si="108"/>
        <v>0</v>
      </c>
      <c r="K299" s="74">
        <f t="shared" si="108"/>
        <v>0</v>
      </c>
      <c r="L299" s="74">
        <f t="shared" si="108"/>
        <v>5450</v>
      </c>
      <c r="M299" s="74">
        <f t="shared" si="108"/>
        <v>0</v>
      </c>
      <c r="N299" s="74">
        <f t="shared" si="108"/>
        <v>0</v>
      </c>
      <c r="O299" s="70"/>
    </row>
    <row r="300" spans="1:15" ht="25.5">
      <c r="A300" s="63"/>
      <c r="B300" s="63"/>
      <c r="C300" s="1"/>
      <c r="D300" s="1" t="s">
        <v>125</v>
      </c>
      <c r="E300" s="16" t="s">
        <v>290</v>
      </c>
      <c r="F300" s="74">
        <f>G300+H300+I300+J300+K300+L300+M300+N300</f>
        <v>5450</v>
      </c>
      <c r="G300" s="452"/>
      <c r="H300" s="142"/>
      <c r="I300" s="462"/>
      <c r="J300" s="90"/>
      <c r="K300" s="94"/>
      <c r="L300" s="474">
        <v>5450</v>
      </c>
      <c r="M300" s="482"/>
      <c r="N300" s="494"/>
      <c r="O300" s="70"/>
    </row>
    <row r="301" spans="1:15" ht="12.75">
      <c r="A301" s="63"/>
      <c r="B301" s="63"/>
      <c r="C301" s="1" t="s">
        <v>54</v>
      </c>
      <c r="D301" s="1"/>
      <c r="E301" s="16" t="s">
        <v>55</v>
      </c>
      <c r="F301" s="74">
        <f>F302</f>
        <v>10000</v>
      </c>
      <c r="G301" s="451">
        <f aca="true" t="shared" si="109" ref="G301:N304">G302</f>
        <v>0</v>
      </c>
      <c r="H301" s="141">
        <f t="shared" si="109"/>
        <v>10000</v>
      </c>
      <c r="I301" s="461">
        <f t="shared" si="109"/>
        <v>0</v>
      </c>
      <c r="J301" s="89">
        <f t="shared" si="109"/>
        <v>0</v>
      </c>
      <c r="K301" s="93">
        <f t="shared" si="109"/>
        <v>0</v>
      </c>
      <c r="L301" s="471">
        <f t="shared" si="109"/>
        <v>0</v>
      </c>
      <c r="M301" s="481">
        <f t="shared" si="109"/>
        <v>0</v>
      </c>
      <c r="N301" s="491">
        <f t="shared" si="109"/>
        <v>0</v>
      </c>
      <c r="O301" s="70"/>
    </row>
    <row r="302" spans="1:15" ht="12.75">
      <c r="A302" s="63"/>
      <c r="B302" s="63"/>
      <c r="C302" s="1" t="s">
        <v>56</v>
      </c>
      <c r="D302" s="1"/>
      <c r="E302" s="16" t="s">
        <v>57</v>
      </c>
      <c r="F302" s="74">
        <f>F303</f>
        <v>10000</v>
      </c>
      <c r="G302" s="451">
        <f t="shared" si="109"/>
        <v>0</v>
      </c>
      <c r="H302" s="141">
        <f t="shared" si="109"/>
        <v>10000</v>
      </c>
      <c r="I302" s="461">
        <f t="shared" si="109"/>
        <v>0</v>
      </c>
      <c r="J302" s="89">
        <f t="shared" si="109"/>
        <v>0</v>
      </c>
      <c r="K302" s="93">
        <f t="shared" si="109"/>
        <v>0</v>
      </c>
      <c r="L302" s="471">
        <f t="shared" si="109"/>
        <v>0</v>
      </c>
      <c r="M302" s="481">
        <f t="shared" si="109"/>
        <v>0</v>
      </c>
      <c r="N302" s="491">
        <f t="shared" si="109"/>
        <v>0</v>
      </c>
      <c r="O302" s="70"/>
    </row>
    <row r="303" spans="1:15" ht="12.75">
      <c r="A303" s="63"/>
      <c r="B303" s="63"/>
      <c r="C303" s="1" t="s">
        <v>354</v>
      </c>
      <c r="D303" s="1"/>
      <c r="E303" s="16" t="s">
        <v>355</v>
      </c>
      <c r="F303" s="74">
        <f>F304</f>
        <v>10000</v>
      </c>
      <c r="G303" s="451">
        <f t="shared" si="109"/>
        <v>0</v>
      </c>
      <c r="H303" s="141">
        <f t="shared" si="109"/>
        <v>10000</v>
      </c>
      <c r="I303" s="461">
        <f t="shared" si="109"/>
        <v>0</v>
      </c>
      <c r="J303" s="89">
        <f t="shared" si="109"/>
        <v>0</v>
      </c>
      <c r="K303" s="93">
        <f t="shared" si="109"/>
        <v>0</v>
      </c>
      <c r="L303" s="471">
        <f t="shared" si="109"/>
        <v>0</v>
      </c>
      <c r="M303" s="481">
        <f t="shared" si="109"/>
        <v>0</v>
      </c>
      <c r="N303" s="491">
        <f t="shared" si="109"/>
        <v>0</v>
      </c>
      <c r="O303" s="70"/>
    </row>
    <row r="304" spans="1:15" ht="12.75">
      <c r="A304" s="63"/>
      <c r="B304" s="63"/>
      <c r="C304" s="59"/>
      <c r="D304" s="1" t="s">
        <v>210</v>
      </c>
      <c r="E304" s="16" t="s">
        <v>211</v>
      </c>
      <c r="F304" s="74">
        <f>F305</f>
        <v>10000</v>
      </c>
      <c r="G304" s="451">
        <f t="shared" si="109"/>
        <v>0</v>
      </c>
      <c r="H304" s="141">
        <f t="shared" si="109"/>
        <v>10000</v>
      </c>
      <c r="I304" s="461">
        <f t="shared" si="109"/>
        <v>0</v>
      </c>
      <c r="J304" s="89">
        <f t="shared" si="109"/>
        <v>0</v>
      </c>
      <c r="K304" s="93">
        <f t="shared" si="109"/>
        <v>0</v>
      </c>
      <c r="L304" s="471">
        <f t="shared" si="109"/>
        <v>0</v>
      </c>
      <c r="M304" s="481">
        <f t="shared" si="109"/>
        <v>0</v>
      </c>
      <c r="N304" s="491">
        <f t="shared" si="109"/>
        <v>0</v>
      </c>
      <c r="O304" s="70"/>
    </row>
    <row r="305" spans="1:15" ht="12.75">
      <c r="A305" s="63"/>
      <c r="B305" s="63"/>
      <c r="C305" s="59"/>
      <c r="D305" s="1" t="s">
        <v>8</v>
      </c>
      <c r="E305" s="16" t="s">
        <v>216</v>
      </c>
      <c r="F305" s="74">
        <f>G305+H305+I305+J305+K305+L305+M305+N305</f>
        <v>10000</v>
      </c>
      <c r="G305" s="452"/>
      <c r="H305" s="142">
        <v>10000</v>
      </c>
      <c r="I305" s="462"/>
      <c r="J305" s="90"/>
      <c r="K305" s="94"/>
      <c r="L305" s="474"/>
      <c r="M305" s="482"/>
      <c r="N305" s="494"/>
      <c r="O305" s="70"/>
    </row>
    <row r="306" spans="1:15" ht="12.75">
      <c r="A306" s="63"/>
      <c r="B306" s="1" t="s">
        <v>68</v>
      </c>
      <c r="C306" s="1"/>
      <c r="D306" s="1"/>
      <c r="E306" s="16" t="s">
        <v>69</v>
      </c>
      <c r="F306" s="74">
        <f>G306+H306+I306+J306+K306+L306+M306+N306</f>
        <v>9114.993</v>
      </c>
      <c r="G306" s="452">
        <f>G307</f>
        <v>0</v>
      </c>
      <c r="H306" s="142">
        <f aca="true" t="shared" si="110" ref="H306:N306">H307</f>
        <v>0</v>
      </c>
      <c r="I306" s="462">
        <f t="shared" si="110"/>
        <v>-4880</v>
      </c>
      <c r="J306" s="90">
        <f t="shared" si="110"/>
        <v>0</v>
      </c>
      <c r="K306" s="94">
        <f t="shared" si="110"/>
        <v>1320</v>
      </c>
      <c r="L306" s="474">
        <f t="shared" si="110"/>
        <v>0</v>
      </c>
      <c r="M306" s="482">
        <f t="shared" si="110"/>
        <v>12674.993</v>
      </c>
      <c r="N306" s="494">
        <f t="shared" si="110"/>
        <v>0</v>
      </c>
      <c r="O306" s="70"/>
    </row>
    <row r="307" spans="1:15" ht="12.75">
      <c r="A307" s="63"/>
      <c r="B307" s="1" t="s">
        <v>9</v>
      </c>
      <c r="C307" s="1"/>
      <c r="D307" s="1"/>
      <c r="E307" s="16" t="s">
        <v>70</v>
      </c>
      <c r="F307" s="74">
        <f>F308+F313</f>
        <v>9114.993</v>
      </c>
      <c r="G307" s="451">
        <f aca="true" t="shared" si="111" ref="G307:N307">G308+G313</f>
        <v>0</v>
      </c>
      <c r="H307" s="141">
        <f t="shared" si="111"/>
        <v>0</v>
      </c>
      <c r="I307" s="461">
        <f t="shared" si="111"/>
        <v>-4880</v>
      </c>
      <c r="J307" s="89">
        <f t="shared" si="111"/>
        <v>0</v>
      </c>
      <c r="K307" s="93">
        <f t="shared" si="111"/>
        <v>1320</v>
      </c>
      <c r="L307" s="471">
        <f t="shared" si="111"/>
        <v>0</v>
      </c>
      <c r="M307" s="481">
        <f t="shared" si="111"/>
        <v>12674.993</v>
      </c>
      <c r="N307" s="491">
        <f t="shared" si="111"/>
        <v>0</v>
      </c>
      <c r="O307" s="70"/>
    </row>
    <row r="308" spans="1:15" ht="25.5">
      <c r="A308" s="63"/>
      <c r="B308" s="1"/>
      <c r="C308" s="1" t="s">
        <v>323</v>
      </c>
      <c r="D308" s="1"/>
      <c r="E308" s="16" t="s">
        <v>329</v>
      </c>
      <c r="F308" s="74">
        <f>F309</f>
        <v>-4880</v>
      </c>
      <c r="G308" s="451">
        <f aca="true" t="shared" si="112" ref="G308:N311">G309</f>
        <v>0</v>
      </c>
      <c r="H308" s="141">
        <f t="shared" si="112"/>
        <v>0</v>
      </c>
      <c r="I308" s="461">
        <f t="shared" si="112"/>
        <v>-4880</v>
      </c>
      <c r="J308" s="89">
        <f t="shared" si="112"/>
        <v>0</v>
      </c>
      <c r="K308" s="93">
        <f t="shared" si="112"/>
        <v>0</v>
      </c>
      <c r="L308" s="471">
        <f t="shared" si="112"/>
        <v>0</v>
      </c>
      <c r="M308" s="481">
        <f t="shared" si="112"/>
        <v>0</v>
      </c>
      <c r="N308" s="491">
        <f t="shared" si="112"/>
        <v>0</v>
      </c>
      <c r="O308" s="70"/>
    </row>
    <row r="309" spans="1:15" ht="12.75">
      <c r="A309" s="63"/>
      <c r="B309" s="1"/>
      <c r="C309" s="1" t="s">
        <v>324</v>
      </c>
      <c r="D309" s="1"/>
      <c r="E309" s="16" t="s">
        <v>330</v>
      </c>
      <c r="F309" s="74">
        <f>F310</f>
        <v>-4880</v>
      </c>
      <c r="G309" s="451">
        <f t="shared" si="112"/>
        <v>0</v>
      </c>
      <c r="H309" s="141">
        <f t="shared" si="112"/>
        <v>0</v>
      </c>
      <c r="I309" s="461">
        <f t="shared" si="112"/>
        <v>-4880</v>
      </c>
      <c r="J309" s="89">
        <f t="shared" si="112"/>
        <v>0</v>
      </c>
      <c r="K309" s="93">
        <f t="shared" si="112"/>
        <v>0</v>
      </c>
      <c r="L309" s="471">
        <f t="shared" si="112"/>
        <v>0</v>
      </c>
      <c r="M309" s="481">
        <f t="shared" si="112"/>
        <v>0</v>
      </c>
      <c r="N309" s="491">
        <f t="shared" si="112"/>
        <v>0</v>
      </c>
      <c r="O309" s="70"/>
    </row>
    <row r="310" spans="1:15" ht="12.75" customHeight="1">
      <c r="A310" s="63"/>
      <c r="B310" s="1"/>
      <c r="C310" s="1" t="s">
        <v>373</v>
      </c>
      <c r="D310" s="1"/>
      <c r="E310" s="16" t="s">
        <v>374</v>
      </c>
      <c r="F310" s="74">
        <f>F311</f>
        <v>-4880</v>
      </c>
      <c r="G310" s="451">
        <f t="shared" si="112"/>
        <v>0</v>
      </c>
      <c r="H310" s="141">
        <f t="shared" si="112"/>
        <v>0</v>
      </c>
      <c r="I310" s="461">
        <f t="shared" si="112"/>
        <v>-4880</v>
      </c>
      <c r="J310" s="89">
        <f t="shared" si="112"/>
        <v>0</v>
      </c>
      <c r="K310" s="93">
        <f t="shared" si="112"/>
        <v>0</v>
      </c>
      <c r="L310" s="471">
        <f t="shared" si="112"/>
        <v>0</v>
      </c>
      <c r="M310" s="481">
        <f t="shared" si="112"/>
        <v>0</v>
      </c>
      <c r="N310" s="491">
        <f t="shared" si="112"/>
        <v>0</v>
      </c>
      <c r="O310" s="70"/>
    </row>
    <row r="311" spans="1:15" ht="12.75">
      <c r="A311" s="63"/>
      <c r="B311" s="1"/>
      <c r="C311" s="1"/>
      <c r="D311" s="1" t="s">
        <v>212</v>
      </c>
      <c r="E311" s="16" t="s">
        <v>45</v>
      </c>
      <c r="F311" s="74">
        <f>F312</f>
        <v>-4880</v>
      </c>
      <c r="G311" s="451">
        <f t="shared" si="112"/>
        <v>0</v>
      </c>
      <c r="H311" s="141">
        <f t="shared" si="112"/>
        <v>0</v>
      </c>
      <c r="I311" s="461">
        <f t="shared" si="112"/>
        <v>-4880</v>
      </c>
      <c r="J311" s="89">
        <f t="shared" si="112"/>
        <v>0</v>
      </c>
      <c r="K311" s="93">
        <f t="shared" si="112"/>
        <v>0</v>
      </c>
      <c r="L311" s="471">
        <f t="shared" si="112"/>
        <v>0</v>
      </c>
      <c r="M311" s="481">
        <f t="shared" si="112"/>
        <v>0</v>
      </c>
      <c r="N311" s="491">
        <f t="shared" si="112"/>
        <v>0</v>
      </c>
      <c r="O311" s="70"/>
    </row>
    <row r="312" spans="1:15" ht="25.5">
      <c r="A312" s="63"/>
      <c r="B312" s="1"/>
      <c r="C312" s="1"/>
      <c r="D312" s="1" t="s">
        <v>125</v>
      </c>
      <c r="E312" s="16" t="s">
        <v>290</v>
      </c>
      <c r="F312" s="74">
        <f>G312+H312+I312+J312+K312+L312+M312+N312</f>
        <v>-4880</v>
      </c>
      <c r="G312" s="452"/>
      <c r="H312" s="142"/>
      <c r="I312" s="462">
        <v>-4880</v>
      </c>
      <c r="J312" s="90"/>
      <c r="K312" s="94"/>
      <c r="L312" s="474"/>
      <c r="M312" s="482"/>
      <c r="N312" s="494"/>
      <c r="O312" s="70"/>
    </row>
    <row r="313" spans="1:15" ht="12.75">
      <c r="A313" s="63"/>
      <c r="B313" s="63"/>
      <c r="C313" s="1" t="s">
        <v>37</v>
      </c>
      <c r="D313" s="1"/>
      <c r="E313" s="16" t="s">
        <v>38</v>
      </c>
      <c r="F313" s="74">
        <f>F314+F319</f>
        <v>13994.993</v>
      </c>
      <c r="G313" s="451">
        <f aca="true" t="shared" si="113" ref="G313:N313">G314+G319</f>
        <v>0</v>
      </c>
      <c r="H313" s="141">
        <f t="shared" si="113"/>
        <v>0</v>
      </c>
      <c r="I313" s="461">
        <f t="shared" si="113"/>
        <v>0</v>
      </c>
      <c r="J313" s="89">
        <f t="shared" si="113"/>
        <v>0</v>
      </c>
      <c r="K313" s="93">
        <f t="shared" si="113"/>
        <v>1320</v>
      </c>
      <c r="L313" s="471">
        <f t="shared" si="113"/>
        <v>0</v>
      </c>
      <c r="M313" s="481">
        <f t="shared" si="113"/>
        <v>12674.993</v>
      </c>
      <c r="N313" s="491">
        <f t="shared" si="113"/>
        <v>0</v>
      </c>
      <c r="O313" s="70"/>
    </row>
    <row r="314" spans="1:15" ht="25.5">
      <c r="A314" s="63"/>
      <c r="B314" s="63"/>
      <c r="C314" s="59" t="s">
        <v>209</v>
      </c>
      <c r="D314" s="1"/>
      <c r="E314" s="16" t="s">
        <v>3</v>
      </c>
      <c r="F314" s="74">
        <f>F315</f>
        <v>12674.993</v>
      </c>
      <c r="G314" s="451">
        <f aca="true" t="shared" si="114" ref="G314:N317">G315</f>
        <v>0</v>
      </c>
      <c r="H314" s="141">
        <f t="shared" si="114"/>
        <v>0</v>
      </c>
      <c r="I314" s="461">
        <f t="shared" si="114"/>
        <v>0</v>
      </c>
      <c r="J314" s="89">
        <f t="shared" si="114"/>
        <v>0</v>
      </c>
      <c r="K314" s="93">
        <f t="shared" si="114"/>
        <v>0</v>
      </c>
      <c r="L314" s="471">
        <f t="shared" si="114"/>
        <v>0</v>
      </c>
      <c r="M314" s="481">
        <f t="shared" si="114"/>
        <v>12674.993</v>
      </c>
      <c r="N314" s="491">
        <f t="shared" si="114"/>
        <v>0</v>
      </c>
      <c r="O314" s="70"/>
    </row>
    <row r="315" spans="1:15" ht="25.5">
      <c r="A315" s="63"/>
      <c r="B315" s="63"/>
      <c r="C315" s="59" t="s">
        <v>176</v>
      </c>
      <c r="D315" s="1"/>
      <c r="E315" s="16" t="s">
        <v>147</v>
      </c>
      <c r="F315" s="74">
        <f>F316</f>
        <v>12674.993</v>
      </c>
      <c r="G315" s="74">
        <f t="shared" si="114"/>
        <v>0</v>
      </c>
      <c r="H315" s="74">
        <f t="shared" si="114"/>
        <v>0</v>
      </c>
      <c r="I315" s="74">
        <f t="shared" si="114"/>
        <v>0</v>
      </c>
      <c r="J315" s="74">
        <f t="shared" si="114"/>
        <v>0</v>
      </c>
      <c r="K315" s="74">
        <f t="shared" si="114"/>
        <v>0</v>
      </c>
      <c r="L315" s="74">
        <f t="shared" si="114"/>
        <v>0</v>
      </c>
      <c r="M315" s="74">
        <f t="shared" si="114"/>
        <v>12674.993</v>
      </c>
      <c r="N315" s="74">
        <f t="shared" si="114"/>
        <v>0</v>
      </c>
      <c r="O315" s="70"/>
    </row>
    <row r="316" spans="1:15" ht="15" customHeight="1">
      <c r="A316" s="63"/>
      <c r="B316" s="63"/>
      <c r="C316" s="59"/>
      <c r="D316" s="1"/>
      <c r="E316" s="16" t="s">
        <v>374</v>
      </c>
      <c r="F316" s="74">
        <f>F317</f>
        <v>12674.993</v>
      </c>
      <c r="G316" s="74">
        <f t="shared" si="114"/>
        <v>0</v>
      </c>
      <c r="H316" s="74">
        <f t="shared" si="114"/>
        <v>0</v>
      </c>
      <c r="I316" s="74">
        <f t="shared" si="114"/>
        <v>0</v>
      </c>
      <c r="J316" s="74">
        <f t="shared" si="114"/>
        <v>0</v>
      </c>
      <c r="K316" s="74">
        <f t="shared" si="114"/>
        <v>0</v>
      </c>
      <c r="L316" s="74">
        <f t="shared" si="114"/>
        <v>0</v>
      </c>
      <c r="M316" s="74">
        <f t="shared" si="114"/>
        <v>12674.993</v>
      </c>
      <c r="N316" s="74">
        <f t="shared" si="114"/>
        <v>0</v>
      </c>
      <c r="O316" s="70"/>
    </row>
    <row r="317" spans="1:15" ht="12.75">
      <c r="A317" s="63"/>
      <c r="B317" s="63"/>
      <c r="C317" s="59"/>
      <c r="D317" s="1" t="s">
        <v>212</v>
      </c>
      <c r="E317" s="16" t="s">
        <v>45</v>
      </c>
      <c r="F317" s="74">
        <f>F318</f>
        <v>12674.993</v>
      </c>
      <c r="G317" s="451">
        <f t="shared" si="114"/>
        <v>0</v>
      </c>
      <c r="H317" s="141">
        <f t="shared" si="114"/>
        <v>0</v>
      </c>
      <c r="I317" s="461">
        <f t="shared" si="114"/>
        <v>0</v>
      </c>
      <c r="J317" s="89">
        <f t="shared" si="114"/>
        <v>0</v>
      </c>
      <c r="K317" s="93">
        <f t="shared" si="114"/>
        <v>0</v>
      </c>
      <c r="L317" s="471">
        <f t="shared" si="114"/>
        <v>0</v>
      </c>
      <c r="M317" s="481">
        <f t="shared" si="114"/>
        <v>12674.993</v>
      </c>
      <c r="N317" s="491">
        <f t="shared" si="114"/>
        <v>0</v>
      </c>
      <c r="O317" s="70"/>
    </row>
    <row r="318" spans="1:15" ht="25.5">
      <c r="A318" s="63"/>
      <c r="B318" s="63"/>
      <c r="C318" s="59"/>
      <c r="D318" s="1" t="s">
        <v>125</v>
      </c>
      <c r="E318" s="16" t="s">
        <v>290</v>
      </c>
      <c r="F318" s="74">
        <f>G318+H318+I318+J318+K318+L318+M318+N318</f>
        <v>12674.993</v>
      </c>
      <c r="G318" s="452"/>
      <c r="H318" s="142"/>
      <c r="I318" s="462"/>
      <c r="J318" s="90"/>
      <c r="K318" s="94"/>
      <c r="L318" s="474"/>
      <c r="M318" s="482">
        <v>12674.993</v>
      </c>
      <c r="N318" s="494"/>
      <c r="O318" s="70"/>
    </row>
    <row r="319" spans="1:15" ht="38.25">
      <c r="A319" s="63"/>
      <c r="B319" s="63"/>
      <c r="C319" s="59" t="s">
        <v>291</v>
      </c>
      <c r="D319" s="1"/>
      <c r="E319" s="16" t="s">
        <v>103</v>
      </c>
      <c r="F319" s="74">
        <f>G319+H319+I319+J319+K319+L319+M319+N319</f>
        <v>1320</v>
      </c>
      <c r="G319" s="452">
        <f>G320</f>
        <v>0</v>
      </c>
      <c r="H319" s="142">
        <f aca="true" t="shared" si="115" ref="H319:N321">H320</f>
        <v>0</v>
      </c>
      <c r="I319" s="462">
        <f t="shared" si="115"/>
        <v>0</v>
      </c>
      <c r="J319" s="90">
        <f t="shared" si="115"/>
        <v>0</v>
      </c>
      <c r="K319" s="94">
        <f t="shared" si="115"/>
        <v>1320</v>
      </c>
      <c r="L319" s="474">
        <f t="shared" si="115"/>
        <v>0</v>
      </c>
      <c r="M319" s="482">
        <f t="shared" si="115"/>
        <v>0</v>
      </c>
      <c r="N319" s="494">
        <f t="shared" si="115"/>
        <v>0</v>
      </c>
      <c r="O319" s="70"/>
    </row>
    <row r="320" spans="1:15" ht="12.75">
      <c r="A320" s="63"/>
      <c r="B320" s="63"/>
      <c r="C320" s="59" t="s">
        <v>285</v>
      </c>
      <c r="D320" s="1"/>
      <c r="E320" s="16" t="s">
        <v>286</v>
      </c>
      <c r="F320" s="74">
        <f>G320+H320+I320+J320+K320+L320+M320+N320</f>
        <v>1320</v>
      </c>
      <c r="G320" s="452">
        <f>G321</f>
        <v>0</v>
      </c>
      <c r="H320" s="142">
        <f t="shared" si="115"/>
        <v>0</v>
      </c>
      <c r="I320" s="462">
        <f t="shared" si="115"/>
        <v>0</v>
      </c>
      <c r="J320" s="90">
        <f t="shared" si="115"/>
        <v>0</v>
      </c>
      <c r="K320" s="94">
        <f t="shared" si="115"/>
        <v>1320</v>
      </c>
      <c r="L320" s="474">
        <f t="shared" si="115"/>
        <v>0</v>
      </c>
      <c r="M320" s="482">
        <f t="shared" si="115"/>
        <v>0</v>
      </c>
      <c r="N320" s="494">
        <f t="shared" si="115"/>
        <v>0</v>
      </c>
      <c r="O320" s="70"/>
    </row>
    <row r="321" spans="1:15" ht="12.75">
      <c r="A321" s="63"/>
      <c r="B321" s="63"/>
      <c r="C321" s="59"/>
      <c r="D321" s="1" t="s">
        <v>212</v>
      </c>
      <c r="E321" s="16" t="s">
        <v>45</v>
      </c>
      <c r="F321" s="74">
        <f aca="true" t="shared" si="116" ref="F321:F400">G321+H321+I321+J321+K321+L321+M321+N321</f>
        <v>1320</v>
      </c>
      <c r="G321" s="452">
        <f>G322</f>
        <v>0</v>
      </c>
      <c r="H321" s="142">
        <f t="shared" si="115"/>
        <v>0</v>
      </c>
      <c r="I321" s="462">
        <f t="shared" si="115"/>
        <v>0</v>
      </c>
      <c r="J321" s="90">
        <f t="shared" si="115"/>
        <v>0</v>
      </c>
      <c r="K321" s="94">
        <f t="shared" si="115"/>
        <v>1320</v>
      </c>
      <c r="L321" s="474">
        <f t="shared" si="115"/>
        <v>0</v>
      </c>
      <c r="M321" s="482">
        <f t="shared" si="115"/>
        <v>0</v>
      </c>
      <c r="N321" s="494">
        <f t="shared" si="115"/>
        <v>0</v>
      </c>
      <c r="O321" s="70"/>
    </row>
    <row r="322" spans="1:15" ht="25.5">
      <c r="A322" s="63"/>
      <c r="B322" s="63"/>
      <c r="C322" s="59"/>
      <c r="D322" s="1" t="s">
        <v>125</v>
      </c>
      <c r="E322" s="16" t="s">
        <v>290</v>
      </c>
      <c r="F322" s="74">
        <f t="shared" si="116"/>
        <v>1320</v>
      </c>
      <c r="G322" s="452"/>
      <c r="H322" s="142"/>
      <c r="I322" s="462"/>
      <c r="J322" s="90"/>
      <c r="K322" s="94">
        <v>1320</v>
      </c>
      <c r="L322" s="474"/>
      <c r="M322" s="482"/>
      <c r="N322" s="494"/>
      <c r="O322" s="70"/>
    </row>
    <row r="323" spans="1:15" ht="25.5">
      <c r="A323" s="37" t="s">
        <v>137</v>
      </c>
      <c r="B323" s="37"/>
      <c r="C323" s="38"/>
      <c r="D323" s="38"/>
      <c r="E323" s="15" t="s">
        <v>222</v>
      </c>
      <c r="F323" s="66">
        <f>G323+H323+I323+J323+K323+L323+M323+N323</f>
        <v>24852.285</v>
      </c>
      <c r="G323" s="453">
        <f aca="true" t="shared" si="117" ref="G323:N323">G324+G336+G358+G402</f>
        <v>-1775.536</v>
      </c>
      <c r="H323" s="143">
        <f t="shared" si="117"/>
        <v>200</v>
      </c>
      <c r="I323" s="463">
        <f t="shared" si="117"/>
        <v>0</v>
      </c>
      <c r="J323" s="91">
        <f t="shared" si="117"/>
        <v>21643.458</v>
      </c>
      <c r="K323" s="95">
        <f t="shared" si="117"/>
        <v>-1232.8749999999993</v>
      </c>
      <c r="L323" s="475">
        <f t="shared" si="117"/>
        <v>0.038</v>
      </c>
      <c r="M323" s="483">
        <f t="shared" si="117"/>
        <v>6017.2</v>
      </c>
      <c r="N323" s="495">
        <f t="shared" si="117"/>
        <v>0</v>
      </c>
      <c r="O323" s="70"/>
    </row>
    <row r="324" spans="1:15" ht="12.75">
      <c r="A324" s="9"/>
      <c r="B324" s="1" t="s">
        <v>26</v>
      </c>
      <c r="C324" s="1"/>
      <c r="D324" s="1"/>
      <c r="E324" s="16" t="s">
        <v>27</v>
      </c>
      <c r="F324" s="61">
        <f t="shared" si="116"/>
        <v>2510</v>
      </c>
      <c r="G324" s="452">
        <f aca="true" t="shared" si="118" ref="G324:N324">G325</f>
        <v>2500</v>
      </c>
      <c r="H324" s="142">
        <f t="shared" si="118"/>
        <v>0</v>
      </c>
      <c r="I324" s="462">
        <f t="shared" si="118"/>
        <v>0</v>
      </c>
      <c r="J324" s="90">
        <f t="shared" si="118"/>
        <v>0</v>
      </c>
      <c r="K324" s="94">
        <f t="shared" si="118"/>
        <v>0</v>
      </c>
      <c r="L324" s="474">
        <f t="shared" si="118"/>
        <v>0</v>
      </c>
      <c r="M324" s="482">
        <f t="shared" si="118"/>
        <v>0</v>
      </c>
      <c r="N324" s="494">
        <f t="shared" si="118"/>
        <v>10</v>
      </c>
      <c r="O324" s="70"/>
    </row>
    <row r="325" spans="1:15" ht="12.75">
      <c r="A325" s="9"/>
      <c r="B325" s="1" t="s">
        <v>80</v>
      </c>
      <c r="C325" s="1"/>
      <c r="D325" s="1"/>
      <c r="E325" s="16" t="s">
        <v>81</v>
      </c>
      <c r="F325" s="61">
        <f>F326+F331</f>
        <v>2510</v>
      </c>
      <c r="G325" s="451">
        <f aca="true" t="shared" si="119" ref="G325:N325">G326+G331</f>
        <v>2500</v>
      </c>
      <c r="H325" s="141">
        <f t="shared" si="119"/>
        <v>0</v>
      </c>
      <c r="I325" s="461">
        <f t="shared" si="119"/>
        <v>0</v>
      </c>
      <c r="J325" s="89">
        <f t="shared" si="119"/>
        <v>0</v>
      </c>
      <c r="K325" s="93">
        <f t="shared" si="119"/>
        <v>0</v>
      </c>
      <c r="L325" s="471">
        <f t="shared" si="119"/>
        <v>0</v>
      </c>
      <c r="M325" s="481">
        <f t="shared" si="119"/>
        <v>0</v>
      </c>
      <c r="N325" s="491">
        <f t="shared" si="119"/>
        <v>10</v>
      </c>
      <c r="O325" s="70"/>
    </row>
    <row r="326" spans="1:15" ht="25.5">
      <c r="A326" s="9"/>
      <c r="B326" s="1"/>
      <c r="C326" s="1" t="s">
        <v>386</v>
      </c>
      <c r="D326" s="1"/>
      <c r="E326" s="16" t="s">
        <v>389</v>
      </c>
      <c r="F326" s="61">
        <f>F327</f>
        <v>2500</v>
      </c>
      <c r="G326" s="451">
        <f aca="true" t="shared" si="120" ref="G326:N329">G327</f>
        <v>2500</v>
      </c>
      <c r="H326" s="141">
        <f t="shared" si="120"/>
        <v>0</v>
      </c>
      <c r="I326" s="461">
        <f t="shared" si="120"/>
        <v>0</v>
      </c>
      <c r="J326" s="89">
        <f t="shared" si="120"/>
        <v>0</v>
      </c>
      <c r="K326" s="93">
        <f t="shared" si="120"/>
        <v>0</v>
      </c>
      <c r="L326" s="471">
        <f t="shared" si="120"/>
        <v>0</v>
      </c>
      <c r="M326" s="481">
        <f t="shared" si="120"/>
        <v>0</v>
      </c>
      <c r="N326" s="491">
        <f t="shared" si="120"/>
        <v>0</v>
      </c>
      <c r="O326" s="70"/>
    </row>
    <row r="327" spans="1:15" ht="12.75">
      <c r="A327" s="9"/>
      <c r="B327" s="1"/>
      <c r="C327" s="1" t="s">
        <v>387</v>
      </c>
      <c r="D327" s="1"/>
      <c r="E327" s="16" t="s">
        <v>390</v>
      </c>
      <c r="F327" s="61">
        <f>F328</f>
        <v>2500</v>
      </c>
      <c r="G327" s="451">
        <f t="shared" si="120"/>
        <v>2500</v>
      </c>
      <c r="H327" s="141">
        <f t="shared" si="120"/>
        <v>0</v>
      </c>
      <c r="I327" s="461">
        <f t="shared" si="120"/>
        <v>0</v>
      </c>
      <c r="J327" s="89">
        <f t="shared" si="120"/>
        <v>0</v>
      </c>
      <c r="K327" s="93">
        <f t="shared" si="120"/>
        <v>0</v>
      </c>
      <c r="L327" s="471">
        <f t="shared" si="120"/>
        <v>0</v>
      </c>
      <c r="M327" s="481">
        <f t="shared" si="120"/>
        <v>0</v>
      </c>
      <c r="N327" s="491">
        <f t="shared" si="120"/>
        <v>0</v>
      </c>
      <c r="O327" s="70"/>
    </row>
    <row r="328" spans="1:15" ht="12.75">
      <c r="A328" s="9"/>
      <c r="B328" s="1"/>
      <c r="C328" s="1" t="s">
        <v>388</v>
      </c>
      <c r="D328" s="1"/>
      <c r="E328" s="16" t="s">
        <v>390</v>
      </c>
      <c r="F328" s="61">
        <f>F329</f>
        <v>2500</v>
      </c>
      <c r="G328" s="451">
        <f t="shared" si="120"/>
        <v>2500</v>
      </c>
      <c r="H328" s="141">
        <f t="shared" si="120"/>
        <v>0</v>
      </c>
      <c r="I328" s="461">
        <f t="shared" si="120"/>
        <v>0</v>
      </c>
      <c r="J328" s="89">
        <f t="shared" si="120"/>
        <v>0</v>
      </c>
      <c r="K328" s="93">
        <f t="shared" si="120"/>
        <v>0</v>
      </c>
      <c r="L328" s="471">
        <f t="shared" si="120"/>
        <v>0</v>
      </c>
      <c r="M328" s="481">
        <f t="shared" si="120"/>
        <v>0</v>
      </c>
      <c r="N328" s="491">
        <f t="shared" si="120"/>
        <v>0</v>
      </c>
      <c r="O328" s="70"/>
    </row>
    <row r="329" spans="1:15" ht="12.75">
      <c r="A329" s="9"/>
      <c r="B329" s="1"/>
      <c r="C329" s="1"/>
      <c r="D329" s="1" t="s">
        <v>210</v>
      </c>
      <c r="E329" s="16" t="s">
        <v>211</v>
      </c>
      <c r="F329" s="61">
        <f>F330</f>
        <v>2500</v>
      </c>
      <c r="G329" s="451">
        <f t="shared" si="120"/>
        <v>2500</v>
      </c>
      <c r="H329" s="141">
        <f t="shared" si="120"/>
        <v>0</v>
      </c>
      <c r="I329" s="461">
        <f t="shared" si="120"/>
        <v>0</v>
      </c>
      <c r="J329" s="89">
        <f t="shared" si="120"/>
        <v>0</v>
      </c>
      <c r="K329" s="93">
        <f t="shared" si="120"/>
        <v>0</v>
      </c>
      <c r="L329" s="471">
        <f t="shared" si="120"/>
        <v>0</v>
      </c>
      <c r="M329" s="481">
        <f t="shared" si="120"/>
        <v>0</v>
      </c>
      <c r="N329" s="491">
        <f t="shared" si="120"/>
        <v>0</v>
      </c>
      <c r="O329" s="70"/>
    </row>
    <row r="330" spans="1:15" ht="12.75">
      <c r="A330" s="9"/>
      <c r="B330" s="1"/>
      <c r="C330" s="1"/>
      <c r="D330" s="1" t="s">
        <v>8</v>
      </c>
      <c r="E330" s="16" t="s">
        <v>216</v>
      </c>
      <c r="F330" s="61">
        <f>G330+H330+I330+J330+K330+L330+M330+N330</f>
        <v>2500</v>
      </c>
      <c r="G330" s="452">
        <v>2500</v>
      </c>
      <c r="H330" s="142"/>
      <c r="I330" s="462"/>
      <c r="J330" s="90"/>
      <c r="K330" s="94"/>
      <c r="L330" s="474"/>
      <c r="M330" s="482"/>
      <c r="N330" s="494"/>
      <c r="O330" s="70"/>
    </row>
    <row r="331" spans="1:15" ht="12.75">
      <c r="A331" s="9"/>
      <c r="B331" s="37"/>
      <c r="C331" s="1" t="s">
        <v>292</v>
      </c>
      <c r="D331" s="1"/>
      <c r="E331" s="16" t="s">
        <v>264</v>
      </c>
      <c r="F331" s="61">
        <f t="shared" si="116"/>
        <v>10</v>
      </c>
      <c r="G331" s="452">
        <f aca="true" t="shared" si="121" ref="G331:N334">G332</f>
        <v>0</v>
      </c>
      <c r="H331" s="142">
        <f t="shared" si="121"/>
        <v>0</v>
      </c>
      <c r="I331" s="462">
        <f t="shared" si="121"/>
        <v>0</v>
      </c>
      <c r="J331" s="90">
        <f t="shared" si="121"/>
        <v>0</v>
      </c>
      <c r="K331" s="94">
        <f t="shared" si="121"/>
        <v>0</v>
      </c>
      <c r="L331" s="474">
        <f t="shared" si="121"/>
        <v>0</v>
      </c>
      <c r="M331" s="482">
        <f t="shared" si="121"/>
        <v>0</v>
      </c>
      <c r="N331" s="494">
        <f t="shared" si="121"/>
        <v>10</v>
      </c>
      <c r="O331" s="70"/>
    </row>
    <row r="332" spans="1:15" ht="12.75">
      <c r="A332" s="63"/>
      <c r="B332" s="63"/>
      <c r="C332" s="59" t="s">
        <v>84</v>
      </c>
      <c r="D332" s="1"/>
      <c r="E332" s="16" t="s">
        <v>85</v>
      </c>
      <c r="F332" s="61">
        <f t="shared" si="116"/>
        <v>10</v>
      </c>
      <c r="G332" s="452">
        <f t="shared" si="121"/>
        <v>0</v>
      </c>
      <c r="H332" s="142">
        <f t="shared" si="121"/>
        <v>0</v>
      </c>
      <c r="I332" s="462">
        <f t="shared" si="121"/>
        <v>0</v>
      </c>
      <c r="J332" s="90">
        <f t="shared" si="121"/>
        <v>0</v>
      </c>
      <c r="K332" s="94">
        <f t="shared" si="121"/>
        <v>0</v>
      </c>
      <c r="L332" s="474">
        <f t="shared" si="121"/>
        <v>0</v>
      </c>
      <c r="M332" s="482">
        <f t="shared" si="121"/>
        <v>0</v>
      </c>
      <c r="N332" s="494">
        <f t="shared" si="121"/>
        <v>10</v>
      </c>
      <c r="O332" s="70"/>
    </row>
    <row r="333" spans="1:15" ht="25.5">
      <c r="A333" s="63"/>
      <c r="B333" s="63"/>
      <c r="C333" s="59" t="s">
        <v>293</v>
      </c>
      <c r="D333" s="1"/>
      <c r="E333" s="16" t="s">
        <v>122</v>
      </c>
      <c r="F333" s="61">
        <f t="shared" si="116"/>
        <v>10</v>
      </c>
      <c r="G333" s="452">
        <f t="shared" si="121"/>
        <v>0</v>
      </c>
      <c r="H333" s="142">
        <f t="shared" si="121"/>
        <v>0</v>
      </c>
      <c r="I333" s="462">
        <f t="shared" si="121"/>
        <v>0</v>
      </c>
      <c r="J333" s="90">
        <f t="shared" si="121"/>
        <v>0</v>
      </c>
      <c r="K333" s="94">
        <f t="shared" si="121"/>
        <v>0</v>
      </c>
      <c r="L333" s="474">
        <f t="shared" si="121"/>
        <v>0</v>
      </c>
      <c r="M333" s="482">
        <f t="shared" si="121"/>
        <v>0</v>
      </c>
      <c r="N333" s="494">
        <f t="shared" si="121"/>
        <v>10</v>
      </c>
      <c r="O333" s="70"/>
    </row>
    <row r="334" spans="1:15" ht="12.75">
      <c r="A334" s="63"/>
      <c r="B334" s="63"/>
      <c r="C334" s="59"/>
      <c r="D334" s="1" t="s">
        <v>230</v>
      </c>
      <c r="E334" s="16" t="s">
        <v>231</v>
      </c>
      <c r="F334" s="61">
        <f t="shared" si="116"/>
        <v>10</v>
      </c>
      <c r="G334" s="452">
        <f t="shared" si="121"/>
        <v>0</v>
      </c>
      <c r="H334" s="142">
        <f t="shared" si="121"/>
        <v>0</v>
      </c>
      <c r="I334" s="462">
        <f t="shared" si="121"/>
        <v>0</v>
      </c>
      <c r="J334" s="90">
        <f t="shared" si="121"/>
        <v>0</v>
      </c>
      <c r="K334" s="94">
        <f t="shared" si="121"/>
        <v>0</v>
      </c>
      <c r="L334" s="474">
        <f t="shared" si="121"/>
        <v>0</v>
      </c>
      <c r="M334" s="482">
        <f t="shared" si="121"/>
        <v>0</v>
      </c>
      <c r="N334" s="494">
        <f t="shared" si="121"/>
        <v>10</v>
      </c>
      <c r="O334" s="70"/>
    </row>
    <row r="335" spans="1:15" ht="12.75">
      <c r="A335" s="63"/>
      <c r="B335" s="63"/>
      <c r="C335" s="59"/>
      <c r="D335" s="1" t="s">
        <v>234</v>
      </c>
      <c r="E335" s="16" t="s">
        <v>235</v>
      </c>
      <c r="F335" s="61">
        <f t="shared" si="116"/>
        <v>10</v>
      </c>
      <c r="G335" s="452"/>
      <c r="H335" s="142"/>
      <c r="I335" s="462"/>
      <c r="J335" s="90"/>
      <c r="K335" s="94"/>
      <c r="L335" s="474"/>
      <c r="M335" s="482"/>
      <c r="N335" s="494">
        <v>10</v>
      </c>
      <c r="O335" s="70"/>
    </row>
    <row r="336" spans="1:15" ht="12.75">
      <c r="A336" s="63"/>
      <c r="B336" s="35" t="s">
        <v>34</v>
      </c>
      <c r="C336" s="36"/>
      <c r="D336" s="36"/>
      <c r="E336" s="16" t="s">
        <v>35</v>
      </c>
      <c r="F336" s="61">
        <f t="shared" si="116"/>
        <v>-2175.398</v>
      </c>
      <c r="G336" s="452">
        <f>G337</f>
        <v>-4275.536</v>
      </c>
      <c r="H336" s="142">
        <f aca="true" t="shared" si="122" ref="H336:N336">H337</f>
        <v>0</v>
      </c>
      <c r="I336" s="462">
        <f t="shared" si="122"/>
        <v>0</v>
      </c>
      <c r="J336" s="90">
        <f t="shared" si="122"/>
        <v>62.1</v>
      </c>
      <c r="K336" s="94">
        <f t="shared" si="122"/>
        <v>79</v>
      </c>
      <c r="L336" s="474">
        <f t="shared" si="122"/>
        <v>0.038</v>
      </c>
      <c r="M336" s="482">
        <f t="shared" si="122"/>
        <v>1959</v>
      </c>
      <c r="N336" s="494">
        <f t="shared" si="122"/>
        <v>0</v>
      </c>
      <c r="O336" s="70"/>
    </row>
    <row r="337" spans="1:15" ht="12.75">
      <c r="A337" s="63"/>
      <c r="B337" s="1" t="s">
        <v>124</v>
      </c>
      <c r="C337" s="1"/>
      <c r="D337" s="1"/>
      <c r="E337" s="16" t="s">
        <v>244</v>
      </c>
      <c r="F337" s="61">
        <f t="shared" si="116"/>
        <v>-2175.398</v>
      </c>
      <c r="G337" s="452">
        <f>G338+G349</f>
        <v>-4275.536</v>
      </c>
      <c r="H337" s="142">
        <f aca="true" t="shared" si="123" ref="H337:N337">H338+H349</f>
        <v>0</v>
      </c>
      <c r="I337" s="462">
        <f t="shared" si="123"/>
        <v>0</v>
      </c>
      <c r="J337" s="90">
        <f t="shared" si="123"/>
        <v>62.1</v>
      </c>
      <c r="K337" s="94">
        <f t="shared" si="123"/>
        <v>79</v>
      </c>
      <c r="L337" s="474">
        <f t="shared" si="123"/>
        <v>0.038</v>
      </c>
      <c r="M337" s="482">
        <f t="shared" si="123"/>
        <v>1959</v>
      </c>
      <c r="N337" s="494">
        <f t="shared" si="123"/>
        <v>0</v>
      </c>
      <c r="O337" s="70"/>
    </row>
    <row r="338" spans="1:15" ht="12.75">
      <c r="A338" s="63"/>
      <c r="B338" s="63"/>
      <c r="C338" s="1" t="s">
        <v>245</v>
      </c>
      <c r="D338" s="1"/>
      <c r="E338" s="16" t="s">
        <v>246</v>
      </c>
      <c r="F338" s="61">
        <f>F339+F343+F346</f>
        <v>-2254.4359999999997</v>
      </c>
      <c r="G338" s="451">
        <f aca="true" t="shared" si="124" ref="G338:N338">G339+G343+G346</f>
        <v>-4275.536</v>
      </c>
      <c r="H338" s="141">
        <f t="shared" si="124"/>
        <v>0</v>
      </c>
      <c r="I338" s="461">
        <f t="shared" si="124"/>
        <v>0</v>
      </c>
      <c r="J338" s="89">
        <f t="shared" si="124"/>
        <v>62.1</v>
      </c>
      <c r="K338" s="93">
        <f t="shared" si="124"/>
        <v>0</v>
      </c>
      <c r="L338" s="471">
        <f t="shared" si="124"/>
        <v>0</v>
      </c>
      <c r="M338" s="481">
        <f t="shared" si="124"/>
        <v>1959</v>
      </c>
      <c r="N338" s="491">
        <f t="shared" si="124"/>
        <v>0</v>
      </c>
      <c r="O338" s="70"/>
    </row>
    <row r="339" spans="1:15" ht="12.75">
      <c r="A339" s="63"/>
      <c r="B339" s="63"/>
      <c r="C339" s="1" t="s">
        <v>1099</v>
      </c>
      <c r="D339" s="1"/>
      <c r="E339" s="16" t="s">
        <v>1101</v>
      </c>
      <c r="F339" s="61">
        <f>F340</f>
        <v>-4275.536</v>
      </c>
      <c r="G339" s="451">
        <f aca="true" t="shared" si="125" ref="G339:N341">G340</f>
        <v>-4275.536</v>
      </c>
      <c r="H339" s="141">
        <f t="shared" si="125"/>
        <v>0</v>
      </c>
      <c r="I339" s="461">
        <f t="shared" si="125"/>
        <v>0</v>
      </c>
      <c r="J339" s="89">
        <f t="shared" si="125"/>
        <v>0</v>
      </c>
      <c r="K339" s="93">
        <f t="shared" si="125"/>
        <v>0</v>
      </c>
      <c r="L339" s="471">
        <f t="shared" si="125"/>
        <v>0</v>
      </c>
      <c r="M339" s="481">
        <f t="shared" si="125"/>
        <v>0</v>
      </c>
      <c r="N339" s="491">
        <f t="shared" si="125"/>
        <v>0</v>
      </c>
      <c r="O339" s="70"/>
    </row>
    <row r="340" spans="1:15" ht="25.5">
      <c r="A340" s="63"/>
      <c r="B340" s="63"/>
      <c r="C340" s="1" t="s">
        <v>1100</v>
      </c>
      <c r="D340" s="1"/>
      <c r="E340" s="16" t="s">
        <v>1102</v>
      </c>
      <c r="F340" s="61">
        <f>F341</f>
        <v>-4275.536</v>
      </c>
      <c r="G340" s="451">
        <f t="shared" si="125"/>
        <v>-4275.536</v>
      </c>
      <c r="H340" s="141">
        <f t="shared" si="125"/>
        <v>0</v>
      </c>
      <c r="I340" s="461">
        <f t="shared" si="125"/>
        <v>0</v>
      </c>
      <c r="J340" s="89">
        <f t="shared" si="125"/>
        <v>0</v>
      </c>
      <c r="K340" s="93">
        <f t="shared" si="125"/>
        <v>0</v>
      </c>
      <c r="L340" s="471">
        <f t="shared" si="125"/>
        <v>0</v>
      </c>
      <c r="M340" s="481">
        <f t="shared" si="125"/>
        <v>0</v>
      </c>
      <c r="N340" s="491">
        <f t="shared" si="125"/>
        <v>0</v>
      </c>
      <c r="O340" s="70"/>
    </row>
    <row r="341" spans="1:15" ht="12.75">
      <c r="A341" s="63"/>
      <c r="B341" s="63"/>
      <c r="C341" s="1"/>
      <c r="D341" s="1" t="s">
        <v>210</v>
      </c>
      <c r="E341" s="16" t="s">
        <v>211</v>
      </c>
      <c r="F341" s="61">
        <f>F342</f>
        <v>-4275.536</v>
      </c>
      <c r="G341" s="451">
        <f t="shared" si="125"/>
        <v>-4275.536</v>
      </c>
      <c r="H341" s="141">
        <f t="shared" si="125"/>
        <v>0</v>
      </c>
      <c r="I341" s="461">
        <f t="shared" si="125"/>
        <v>0</v>
      </c>
      <c r="J341" s="89">
        <f t="shared" si="125"/>
        <v>0</v>
      </c>
      <c r="K341" s="93">
        <f t="shared" si="125"/>
        <v>0</v>
      </c>
      <c r="L341" s="471">
        <f t="shared" si="125"/>
        <v>0</v>
      </c>
      <c r="M341" s="481">
        <f t="shared" si="125"/>
        <v>0</v>
      </c>
      <c r="N341" s="491">
        <f t="shared" si="125"/>
        <v>0</v>
      </c>
      <c r="O341" s="70"/>
    </row>
    <row r="342" spans="1:15" ht="12.75">
      <c r="A342" s="63"/>
      <c r="B342" s="63"/>
      <c r="C342" s="1"/>
      <c r="D342" s="1" t="s">
        <v>8</v>
      </c>
      <c r="E342" s="16" t="s">
        <v>216</v>
      </c>
      <c r="F342" s="61">
        <f>G342+H342+I342+J342+K342+L342+M342+N342</f>
        <v>-4275.536</v>
      </c>
      <c r="G342" s="452">
        <v>-4275.536</v>
      </c>
      <c r="H342" s="142"/>
      <c r="I342" s="462"/>
      <c r="J342" s="90"/>
      <c r="K342" s="94"/>
      <c r="L342" s="474"/>
      <c r="M342" s="482"/>
      <c r="N342" s="494"/>
      <c r="O342" s="70"/>
    </row>
    <row r="343" spans="1:15" ht="25.5">
      <c r="A343" s="63"/>
      <c r="B343" s="63"/>
      <c r="C343" s="1" t="s">
        <v>247</v>
      </c>
      <c r="D343" s="1"/>
      <c r="E343" s="16" t="s">
        <v>248</v>
      </c>
      <c r="F343" s="61">
        <f t="shared" si="116"/>
        <v>62.1</v>
      </c>
      <c r="G343" s="452">
        <f>G344</f>
        <v>0</v>
      </c>
      <c r="H343" s="142">
        <f aca="true" t="shared" si="126" ref="H343:N344">H344</f>
        <v>0</v>
      </c>
      <c r="I343" s="462">
        <f t="shared" si="126"/>
        <v>0</v>
      </c>
      <c r="J343" s="90">
        <f t="shared" si="126"/>
        <v>62.1</v>
      </c>
      <c r="K343" s="94">
        <f t="shared" si="126"/>
        <v>0</v>
      </c>
      <c r="L343" s="474">
        <f t="shared" si="126"/>
        <v>0</v>
      </c>
      <c r="M343" s="482">
        <f t="shared" si="126"/>
        <v>0</v>
      </c>
      <c r="N343" s="494">
        <f t="shared" si="126"/>
        <v>0</v>
      </c>
      <c r="O343" s="70"/>
    </row>
    <row r="344" spans="1:15" ht="12.75">
      <c r="A344" s="63"/>
      <c r="B344" s="63"/>
      <c r="C344" s="1"/>
      <c r="D344" s="1" t="s">
        <v>210</v>
      </c>
      <c r="E344" s="16" t="s">
        <v>211</v>
      </c>
      <c r="F344" s="61">
        <f t="shared" si="116"/>
        <v>62.1</v>
      </c>
      <c r="G344" s="452">
        <f>G345</f>
        <v>0</v>
      </c>
      <c r="H344" s="142">
        <f t="shared" si="126"/>
        <v>0</v>
      </c>
      <c r="I344" s="462">
        <f t="shared" si="126"/>
        <v>0</v>
      </c>
      <c r="J344" s="90">
        <f t="shared" si="126"/>
        <v>62.1</v>
      </c>
      <c r="K344" s="94">
        <f t="shared" si="126"/>
        <v>0</v>
      </c>
      <c r="L344" s="474">
        <f t="shared" si="126"/>
        <v>0</v>
      </c>
      <c r="M344" s="482">
        <f t="shared" si="126"/>
        <v>0</v>
      </c>
      <c r="N344" s="494">
        <f t="shared" si="126"/>
        <v>0</v>
      </c>
      <c r="O344" s="70"/>
    </row>
    <row r="345" spans="1:15" ht="12.75">
      <c r="A345" s="63"/>
      <c r="B345" s="63"/>
      <c r="C345" s="1"/>
      <c r="D345" s="1" t="s">
        <v>8</v>
      </c>
      <c r="E345" s="16" t="s">
        <v>216</v>
      </c>
      <c r="F345" s="61">
        <f t="shared" si="116"/>
        <v>62.1</v>
      </c>
      <c r="G345" s="452"/>
      <c r="H345" s="142"/>
      <c r="I345" s="462"/>
      <c r="J345" s="90">
        <v>62.1</v>
      </c>
      <c r="K345" s="94"/>
      <c r="L345" s="474"/>
      <c r="M345" s="482"/>
      <c r="N345" s="494"/>
      <c r="O345" s="70"/>
    </row>
    <row r="346" spans="1:15" ht="51">
      <c r="A346" s="63"/>
      <c r="B346" s="63"/>
      <c r="C346" s="59" t="s">
        <v>178</v>
      </c>
      <c r="D346" s="1"/>
      <c r="E346" s="50" t="s">
        <v>167</v>
      </c>
      <c r="F346" s="61">
        <f t="shared" si="116"/>
        <v>1959</v>
      </c>
      <c r="G346" s="452">
        <f>G347</f>
        <v>0</v>
      </c>
      <c r="H346" s="142">
        <f aca="true" t="shared" si="127" ref="H346:N347">H347</f>
        <v>0</v>
      </c>
      <c r="I346" s="462">
        <f t="shared" si="127"/>
        <v>0</v>
      </c>
      <c r="J346" s="90">
        <f t="shared" si="127"/>
        <v>0</v>
      </c>
      <c r="K346" s="94">
        <f t="shared" si="127"/>
        <v>0</v>
      </c>
      <c r="L346" s="474">
        <f t="shared" si="127"/>
        <v>0</v>
      </c>
      <c r="M346" s="482">
        <f t="shared" si="127"/>
        <v>1959</v>
      </c>
      <c r="N346" s="494">
        <f t="shared" si="127"/>
        <v>0</v>
      </c>
      <c r="O346" s="70"/>
    </row>
    <row r="347" spans="1:15" ht="12.75">
      <c r="A347" s="63"/>
      <c r="B347" s="63"/>
      <c r="C347" s="59"/>
      <c r="D347" s="1" t="s">
        <v>212</v>
      </c>
      <c r="E347" s="16" t="s">
        <v>45</v>
      </c>
      <c r="F347" s="61">
        <f t="shared" si="116"/>
        <v>1959</v>
      </c>
      <c r="G347" s="452">
        <f>G348</f>
        <v>0</v>
      </c>
      <c r="H347" s="142">
        <f t="shared" si="127"/>
        <v>0</v>
      </c>
      <c r="I347" s="462">
        <f t="shared" si="127"/>
        <v>0</v>
      </c>
      <c r="J347" s="90">
        <f t="shared" si="127"/>
        <v>0</v>
      </c>
      <c r="K347" s="94">
        <f t="shared" si="127"/>
        <v>0</v>
      </c>
      <c r="L347" s="474">
        <f t="shared" si="127"/>
        <v>0</v>
      </c>
      <c r="M347" s="482">
        <f t="shared" si="127"/>
        <v>1959</v>
      </c>
      <c r="N347" s="494">
        <f t="shared" si="127"/>
        <v>0</v>
      </c>
      <c r="O347" s="70"/>
    </row>
    <row r="348" spans="1:15" ht="25.5">
      <c r="A348" s="63"/>
      <c r="B348" s="63"/>
      <c r="C348" s="59"/>
      <c r="D348" s="1" t="s">
        <v>125</v>
      </c>
      <c r="E348" s="16" t="s">
        <v>290</v>
      </c>
      <c r="F348" s="61">
        <f t="shared" si="116"/>
        <v>1959</v>
      </c>
      <c r="G348" s="452"/>
      <c r="H348" s="142"/>
      <c r="I348" s="462"/>
      <c r="J348" s="90"/>
      <c r="K348" s="94"/>
      <c r="L348" s="474"/>
      <c r="M348" s="482">
        <v>1959</v>
      </c>
      <c r="N348" s="494"/>
      <c r="O348" s="70"/>
    </row>
    <row r="349" spans="1:15" ht="12.75">
      <c r="A349" s="63"/>
      <c r="B349" s="63"/>
      <c r="C349" s="1" t="s">
        <v>37</v>
      </c>
      <c r="D349" s="1"/>
      <c r="E349" s="16" t="s">
        <v>38</v>
      </c>
      <c r="F349" s="61">
        <f t="shared" si="116"/>
        <v>79.038</v>
      </c>
      <c r="G349" s="452">
        <f>G350+G354</f>
        <v>0</v>
      </c>
      <c r="H349" s="142">
        <f aca="true" t="shared" si="128" ref="H349:N349">H350+H354</f>
        <v>0</v>
      </c>
      <c r="I349" s="462">
        <f t="shared" si="128"/>
        <v>0</v>
      </c>
      <c r="J349" s="90">
        <f t="shared" si="128"/>
        <v>0</v>
      </c>
      <c r="K349" s="94">
        <f t="shared" si="128"/>
        <v>79</v>
      </c>
      <c r="L349" s="474">
        <f t="shared" si="128"/>
        <v>0.038</v>
      </c>
      <c r="M349" s="482">
        <f t="shared" si="128"/>
        <v>0</v>
      </c>
      <c r="N349" s="494">
        <f t="shared" si="128"/>
        <v>0</v>
      </c>
      <c r="O349" s="70"/>
    </row>
    <row r="350" spans="1:15" ht="25.5">
      <c r="A350" s="63"/>
      <c r="B350" s="63"/>
      <c r="C350" s="1" t="s">
        <v>209</v>
      </c>
      <c r="D350" s="1"/>
      <c r="E350" s="49" t="s">
        <v>3</v>
      </c>
      <c r="F350" s="61">
        <f t="shared" si="116"/>
        <v>0.038</v>
      </c>
      <c r="G350" s="452">
        <f>G351</f>
        <v>0</v>
      </c>
      <c r="H350" s="142">
        <f aca="true" t="shared" si="129" ref="H350:N352">H351</f>
        <v>0</v>
      </c>
      <c r="I350" s="462">
        <f t="shared" si="129"/>
        <v>0</v>
      </c>
      <c r="J350" s="90">
        <f t="shared" si="129"/>
        <v>0</v>
      </c>
      <c r="K350" s="94">
        <f t="shared" si="129"/>
        <v>0</v>
      </c>
      <c r="L350" s="474">
        <f t="shared" si="129"/>
        <v>0.038</v>
      </c>
      <c r="M350" s="482">
        <f t="shared" si="129"/>
        <v>0</v>
      </c>
      <c r="N350" s="494">
        <f t="shared" si="129"/>
        <v>0</v>
      </c>
      <c r="O350" s="70"/>
    </row>
    <row r="351" spans="1:15" ht="12.75">
      <c r="A351" s="63"/>
      <c r="B351" s="63"/>
      <c r="C351" s="59" t="s">
        <v>288</v>
      </c>
      <c r="D351" s="1"/>
      <c r="E351" s="16" t="s">
        <v>166</v>
      </c>
      <c r="F351" s="61">
        <f t="shared" si="116"/>
        <v>0.038</v>
      </c>
      <c r="G351" s="452">
        <f>G352</f>
        <v>0</v>
      </c>
      <c r="H351" s="142">
        <f t="shared" si="129"/>
        <v>0</v>
      </c>
      <c r="I351" s="462">
        <f t="shared" si="129"/>
        <v>0</v>
      </c>
      <c r="J351" s="90">
        <f t="shared" si="129"/>
        <v>0</v>
      </c>
      <c r="K351" s="94">
        <f t="shared" si="129"/>
        <v>0</v>
      </c>
      <c r="L351" s="474">
        <f t="shared" si="129"/>
        <v>0.038</v>
      </c>
      <c r="M351" s="482">
        <f t="shared" si="129"/>
        <v>0</v>
      </c>
      <c r="N351" s="494">
        <f t="shared" si="129"/>
        <v>0</v>
      </c>
      <c r="O351" s="70"/>
    </row>
    <row r="352" spans="1:15" ht="12.75">
      <c r="A352" s="63"/>
      <c r="B352" s="63"/>
      <c r="C352" s="59"/>
      <c r="D352" s="1" t="s">
        <v>210</v>
      </c>
      <c r="E352" s="16" t="s">
        <v>211</v>
      </c>
      <c r="F352" s="61">
        <f t="shared" si="116"/>
        <v>0.038</v>
      </c>
      <c r="G352" s="452">
        <f>G353</f>
        <v>0</v>
      </c>
      <c r="H352" s="142">
        <f t="shared" si="129"/>
        <v>0</v>
      </c>
      <c r="I352" s="462">
        <f t="shared" si="129"/>
        <v>0</v>
      </c>
      <c r="J352" s="90">
        <f t="shared" si="129"/>
        <v>0</v>
      </c>
      <c r="K352" s="94">
        <f t="shared" si="129"/>
        <v>0</v>
      </c>
      <c r="L352" s="474">
        <f t="shared" si="129"/>
        <v>0.038</v>
      </c>
      <c r="M352" s="482">
        <f t="shared" si="129"/>
        <v>0</v>
      </c>
      <c r="N352" s="494">
        <f t="shared" si="129"/>
        <v>0</v>
      </c>
      <c r="O352" s="70"/>
    </row>
    <row r="353" spans="1:15" ht="12.75">
      <c r="A353" s="63"/>
      <c r="B353" s="63"/>
      <c r="C353" s="59"/>
      <c r="D353" s="1" t="s">
        <v>8</v>
      </c>
      <c r="E353" s="16" t="s">
        <v>216</v>
      </c>
      <c r="F353" s="61">
        <f t="shared" si="116"/>
        <v>0.038</v>
      </c>
      <c r="G353" s="452"/>
      <c r="H353" s="142"/>
      <c r="I353" s="462"/>
      <c r="J353" s="90"/>
      <c r="K353" s="94"/>
      <c r="L353" s="474">
        <v>0.038</v>
      </c>
      <c r="M353" s="482"/>
      <c r="N353" s="494"/>
      <c r="O353" s="70"/>
    </row>
    <row r="354" spans="1:15" ht="25.5">
      <c r="A354" s="63"/>
      <c r="B354" s="63"/>
      <c r="C354" s="59" t="s">
        <v>39</v>
      </c>
      <c r="D354" s="1"/>
      <c r="E354" s="16" t="s">
        <v>40</v>
      </c>
      <c r="F354" s="61">
        <f t="shared" si="116"/>
        <v>79</v>
      </c>
      <c r="G354" s="452">
        <f>G355</f>
        <v>0</v>
      </c>
      <c r="H354" s="142">
        <f aca="true" t="shared" si="130" ref="H354:N356">H355</f>
        <v>0</v>
      </c>
      <c r="I354" s="462">
        <f t="shared" si="130"/>
        <v>0</v>
      </c>
      <c r="J354" s="90">
        <f t="shared" si="130"/>
        <v>0</v>
      </c>
      <c r="K354" s="94">
        <f t="shared" si="130"/>
        <v>79</v>
      </c>
      <c r="L354" s="474">
        <f t="shared" si="130"/>
        <v>0</v>
      </c>
      <c r="M354" s="482">
        <f t="shared" si="130"/>
        <v>0</v>
      </c>
      <c r="N354" s="494">
        <f t="shared" si="130"/>
        <v>0</v>
      </c>
      <c r="O354" s="70"/>
    </row>
    <row r="355" spans="1:15" ht="25.5">
      <c r="A355" s="63"/>
      <c r="B355" s="63"/>
      <c r="C355" s="59" t="s">
        <v>294</v>
      </c>
      <c r="D355" s="1"/>
      <c r="E355" s="16" t="s">
        <v>138</v>
      </c>
      <c r="F355" s="61">
        <f t="shared" si="116"/>
        <v>79</v>
      </c>
      <c r="G355" s="452">
        <f>G356</f>
        <v>0</v>
      </c>
      <c r="H355" s="142">
        <f t="shared" si="130"/>
        <v>0</v>
      </c>
      <c r="I355" s="462">
        <f t="shared" si="130"/>
        <v>0</v>
      </c>
      <c r="J355" s="90">
        <f t="shared" si="130"/>
        <v>0</v>
      </c>
      <c r="K355" s="94">
        <f t="shared" si="130"/>
        <v>79</v>
      </c>
      <c r="L355" s="474">
        <f t="shared" si="130"/>
        <v>0</v>
      </c>
      <c r="M355" s="482">
        <f t="shared" si="130"/>
        <v>0</v>
      </c>
      <c r="N355" s="494">
        <f t="shared" si="130"/>
        <v>0</v>
      </c>
      <c r="O355" s="70"/>
    </row>
    <row r="356" spans="1:15" ht="12.75">
      <c r="A356" s="63"/>
      <c r="B356" s="63"/>
      <c r="C356" s="59"/>
      <c r="D356" s="1" t="s">
        <v>210</v>
      </c>
      <c r="E356" s="16" t="s">
        <v>211</v>
      </c>
      <c r="F356" s="61">
        <f t="shared" si="116"/>
        <v>79</v>
      </c>
      <c r="G356" s="452">
        <f>G357</f>
        <v>0</v>
      </c>
      <c r="H356" s="142">
        <f t="shared" si="130"/>
        <v>0</v>
      </c>
      <c r="I356" s="462">
        <f t="shared" si="130"/>
        <v>0</v>
      </c>
      <c r="J356" s="90">
        <f t="shared" si="130"/>
        <v>0</v>
      </c>
      <c r="K356" s="94">
        <f t="shared" si="130"/>
        <v>79</v>
      </c>
      <c r="L356" s="474">
        <f t="shared" si="130"/>
        <v>0</v>
      </c>
      <c r="M356" s="482">
        <f t="shared" si="130"/>
        <v>0</v>
      </c>
      <c r="N356" s="494">
        <f t="shared" si="130"/>
        <v>0</v>
      </c>
      <c r="O356" s="70"/>
    </row>
    <row r="357" spans="1:15" ht="12.75">
      <c r="A357" s="63"/>
      <c r="B357" s="63"/>
      <c r="C357" s="59"/>
      <c r="D357" s="1" t="s">
        <v>8</v>
      </c>
      <c r="E357" s="16" t="s">
        <v>216</v>
      </c>
      <c r="F357" s="61">
        <f t="shared" si="116"/>
        <v>79</v>
      </c>
      <c r="G357" s="452"/>
      <c r="H357" s="142"/>
      <c r="I357" s="462"/>
      <c r="J357" s="90"/>
      <c r="K357" s="94">
        <v>79</v>
      </c>
      <c r="L357" s="474"/>
      <c r="M357" s="482"/>
      <c r="N357" s="494"/>
      <c r="O357" s="70"/>
    </row>
    <row r="358" spans="1:15" ht="12.75">
      <c r="A358" s="63"/>
      <c r="B358" s="35" t="s">
        <v>41</v>
      </c>
      <c r="C358" s="1"/>
      <c r="D358" s="1"/>
      <c r="E358" s="16" t="s">
        <v>42</v>
      </c>
      <c r="F358" s="61">
        <f t="shared" si="116"/>
        <v>24317.683</v>
      </c>
      <c r="G358" s="452">
        <f aca="true" t="shared" si="131" ref="G358:N358">G359+G369+G382</f>
        <v>0</v>
      </c>
      <c r="H358" s="142">
        <f t="shared" si="131"/>
        <v>0</v>
      </c>
      <c r="I358" s="462">
        <f t="shared" si="131"/>
        <v>0</v>
      </c>
      <c r="J358" s="90">
        <f t="shared" si="131"/>
        <v>21581.358</v>
      </c>
      <c r="K358" s="94">
        <f t="shared" si="131"/>
        <v>-1311.8749999999993</v>
      </c>
      <c r="L358" s="474">
        <f t="shared" si="131"/>
        <v>0</v>
      </c>
      <c r="M358" s="482">
        <f t="shared" si="131"/>
        <v>4058.2</v>
      </c>
      <c r="N358" s="494">
        <f t="shared" si="131"/>
        <v>-10</v>
      </c>
      <c r="O358" s="70"/>
    </row>
    <row r="359" spans="1:15" ht="12.75">
      <c r="A359" s="63"/>
      <c r="B359" s="1" t="s">
        <v>6</v>
      </c>
      <c r="C359" s="1"/>
      <c r="D359" s="1"/>
      <c r="E359" s="16" t="s">
        <v>43</v>
      </c>
      <c r="F359" s="61">
        <f>F360</f>
        <v>14744.183</v>
      </c>
      <c r="G359" s="61">
        <f aca="true" t="shared" si="132" ref="G359:N359">G360</f>
        <v>0</v>
      </c>
      <c r="H359" s="61">
        <f t="shared" si="132"/>
        <v>0</v>
      </c>
      <c r="I359" s="61">
        <f t="shared" si="132"/>
        <v>0</v>
      </c>
      <c r="J359" s="61">
        <f t="shared" si="132"/>
        <v>21581.358</v>
      </c>
      <c r="K359" s="61">
        <f t="shared" si="132"/>
        <v>-6837.174999999999</v>
      </c>
      <c r="L359" s="61">
        <f t="shared" si="132"/>
        <v>0</v>
      </c>
      <c r="M359" s="61">
        <f t="shared" si="132"/>
        <v>0</v>
      </c>
      <c r="N359" s="61">
        <f t="shared" si="132"/>
        <v>0</v>
      </c>
      <c r="O359" s="70"/>
    </row>
    <row r="360" spans="1:15" ht="25.5">
      <c r="A360" s="63"/>
      <c r="B360" s="63"/>
      <c r="C360" s="59" t="s">
        <v>295</v>
      </c>
      <c r="D360" s="1"/>
      <c r="E360" s="16" t="s">
        <v>44</v>
      </c>
      <c r="F360" s="61">
        <f t="shared" si="116"/>
        <v>14744.183</v>
      </c>
      <c r="G360" s="452">
        <f>G361+G365</f>
        <v>0</v>
      </c>
      <c r="H360" s="142">
        <f aca="true" t="shared" si="133" ref="H360:N360">H361+H365</f>
        <v>0</v>
      </c>
      <c r="I360" s="462">
        <f t="shared" si="133"/>
        <v>0</v>
      </c>
      <c r="J360" s="90">
        <f t="shared" si="133"/>
        <v>21581.358</v>
      </c>
      <c r="K360" s="94">
        <f t="shared" si="133"/>
        <v>-6837.174999999999</v>
      </c>
      <c r="L360" s="474">
        <f t="shared" si="133"/>
        <v>0</v>
      </c>
      <c r="M360" s="482">
        <f t="shared" si="133"/>
        <v>0</v>
      </c>
      <c r="N360" s="494">
        <f t="shared" si="133"/>
        <v>0</v>
      </c>
      <c r="O360" s="70"/>
    </row>
    <row r="361" spans="1:15" ht="51">
      <c r="A361" s="63"/>
      <c r="B361" s="63"/>
      <c r="C361" s="59" t="s">
        <v>296</v>
      </c>
      <c r="D361" s="1"/>
      <c r="E361" s="16" t="s">
        <v>298</v>
      </c>
      <c r="F361" s="61">
        <f t="shared" si="116"/>
        <v>21581.358</v>
      </c>
      <c r="G361" s="452">
        <f>G362</f>
        <v>0</v>
      </c>
      <c r="H361" s="142">
        <f aca="true" t="shared" si="134" ref="H361:N363">H362</f>
        <v>0</v>
      </c>
      <c r="I361" s="462">
        <f t="shared" si="134"/>
        <v>0</v>
      </c>
      <c r="J361" s="90">
        <f t="shared" si="134"/>
        <v>21581.358</v>
      </c>
      <c r="K361" s="94">
        <f t="shared" si="134"/>
        <v>0</v>
      </c>
      <c r="L361" s="474">
        <f t="shared" si="134"/>
        <v>0</v>
      </c>
      <c r="M361" s="482">
        <f t="shared" si="134"/>
        <v>0</v>
      </c>
      <c r="N361" s="494">
        <f t="shared" si="134"/>
        <v>0</v>
      </c>
      <c r="O361" s="70"/>
    </row>
    <row r="362" spans="1:15" ht="25.5">
      <c r="A362" s="63"/>
      <c r="B362" s="63"/>
      <c r="C362" s="59" t="s">
        <v>297</v>
      </c>
      <c r="D362" s="1"/>
      <c r="E362" s="16" t="s">
        <v>10</v>
      </c>
      <c r="F362" s="61">
        <f t="shared" si="116"/>
        <v>21581.358</v>
      </c>
      <c r="G362" s="452">
        <f>G363</f>
        <v>0</v>
      </c>
      <c r="H362" s="142">
        <f t="shared" si="134"/>
        <v>0</v>
      </c>
      <c r="I362" s="462">
        <f t="shared" si="134"/>
        <v>0</v>
      </c>
      <c r="J362" s="90">
        <f t="shared" si="134"/>
        <v>21581.358</v>
      </c>
      <c r="K362" s="94">
        <f t="shared" si="134"/>
        <v>0</v>
      </c>
      <c r="L362" s="474">
        <f t="shared" si="134"/>
        <v>0</v>
      </c>
      <c r="M362" s="482">
        <f t="shared" si="134"/>
        <v>0</v>
      </c>
      <c r="N362" s="494">
        <f t="shared" si="134"/>
        <v>0</v>
      </c>
      <c r="O362" s="70"/>
    </row>
    <row r="363" spans="1:15" ht="12.75">
      <c r="A363" s="63"/>
      <c r="B363" s="63"/>
      <c r="C363" s="59"/>
      <c r="D363" s="1" t="s">
        <v>212</v>
      </c>
      <c r="E363" s="16" t="s">
        <v>45</v>
      </c>
      <c r="F363" s="61">
        <f t="shared" si="116"/>
        <v>21581.358</v>
      </c>
      <c r="G363" s="452">
        <f>G364</f>
        <v>0</v>
      </c>
      <c r="H363" s="142">
        <f t="shared" si="134"/>
        <v>0</v>
      </c>
      <c r="I363" s="462">
        <f t="shared" si="134"/>
        <v>0</v>
      </c>
      <c r="J363" s="90">
        <f t="shared" si="134"/>
        <v>21581.358</v>
      </c>
      <c r="K363" s="94">
        <f t="shared" si="134"/>
        <v>0</v>
      </c>
      <c r="L363" s="474">
        <f t="shared" si="134"/>
        <v>0</v>
      </c>
      <c r="M363" s="482">
        <f t="shared" si="134"/>
        <v>0</v>
      </c>
      <c r="N363" s="494">
        <f t="shared" si="134"/>
        <v>0</v>
      </c>
      <c r="O363" s="70"/>
    </row>
    <row r="364" spans="1:15" ht="12.75">
      <c r="A364" s="63"/>
      <c r="B364" s="63"/>
      <c r="C364" s="59"/>
      <c r="D364" s="1" t="s">
        <v>190</v>
      </c>
      <c r="E364" s="16" t="s">
        <v>299</v>
      </c>
      <c r="F364" s="61">
        <f t="shared" si="116"/>
        <v>21581.358</v>
      </c>
      <c r="G364" s="452"/>
      <c r="H364" s="142"/>
      <c r="I364" s="462"/>
      <c r="J364" s="90">
        <v>21581.358</v>
      </c>
      <c r="K364" s="94"/>
      <c r="L364" s="474"/>
      <c r="M364" s="482"/>
      <c r="N364" s="494"/>
      <c r="O364" s="70"/>
    </row>
    <row r="365" spans="1:15" ht="25.5">
      <c r="A365" s="63"/>
      <c r="B365" s="63"/>
      <c r="C365" s="59" t="s">
        <v>46</v>
      </c>
      <c r="D365" s="1"/>
      <c r="E365" s="16" t="s">
        <v>47</v>
      </c>
      <c r="F365" s="61">
        <f t="shared" si="116"/>
        <v>-6837.174999999999</v>
      </c>
      <c r="G365" s="452">
        <f>G366</f>
        <v>0</v>
      </c>
      <c r="H365" s="142">
        <f aca="true" t="shared" si="135" ref="H365:N367">H366</f>
        <v>0</v>
      </c>
      <c r="I365" s="462">
        <f t="shared" si="135"/>
        <v>0</v>
      </c>
      <c r="J365" s="90">
        <f t="shared" si="135"/>
        <v>0</v>
      </c>
      <c r="K365" s="94">
        <f t="shared" si="135"/>
        <v>-6837.174999999999</v>
      </c>
      <c r="L365" s="474">
        <f t="shared" si="135"/>
        <v>0</v>
      </c>
      <c r="M365" s="482">
        <f t="shared" si="135"/>
        <v>0</v>
      </c>
      <c r="N365" s="494">
        <f t="shared" si="135"/>
        <v>0</v>
      </c>
      <c r="O365" s="70"/>
    </row>
    <row r="366" spans="1:15" ht="25.5">
      <c r="A366" s="63"/>
      <c r="B366" s="63"/>
      <c r="C366" s="59" t="s">
        <v>179</v>
      </c>
      <c r="D366" s="1"/>
      <c r="E366" s="16" t="s">
        <v>48</v>
      </c>
      <c r="F366" s="61">
        <f t="shared" si="116"/>
        <v>-6837.174999999999</v>
      </c>
      <c r="G366" s="452">
        <f>G367</f>
        <v>0</v>
      </c>
      <c r="H366" s="142">
        <f t="shared" si="135"/>
        <v>0</v>
      </c>
      <c r="I366" s="462">
        <f t="shared" si="135"/>
        <v>0</v>
      </c>
      <c r="J366" s="90">
        <f t="shared" si="135"/>
        <v>0</v>
      </c>
      <c r="K366" s="94">
        <f t="shared" si="135"/>
        <v>-6837.174999999999</v>
      </c>
      <c r="L366" s="474">
        <f t="shared" si="135"/>
        <v>0</v>
      </c>
      <c r="M366" s="482">
        <f t="shared" si="135"/>
        <v>0</v>
      </c>
      <c r="N366" s="494">
        <f t="shared" si="135"/>
        <v>0</v>
      </c>
      <c r="O366" s="70"/>
    </row>
    <row r="367" spans="1:15" ht="12.75">
      <c r="A367" s="63"/>
      <c r="B367" s="63"/>
      <c r="C367" s="59"/>
      <c r="D367" s="1" t="s">
        <v>212</v>
      </c>
      <c r="E367" s="16" t="s">
        <v>45</v>
      </c>
      <c r="F367" s="61">
        <f t="shared" si="116"/>
        <v>-6837.174999999999</v>
      </c>
      <c r="G367" s="452">
        <f>G368</f>
        <v>0</v>
      </c>
      <c r="H367" s="142">
        <f t="shared" si="135"/>
        <v>0</v>
      </c>
      <c r="I367" s="462">
        <f t="shared" si="135"/>
        <v>0</v>
      </c>
      <c r="J367" s="90">
        <f t="shared" si="135"/>
        <v>0</v>
      </c>
      <c r="K367" s="94">
        <f t="shared" si="135"/>
        <v>-6837.174999999999</v>
      </c>
      <c r="L367" s="474">
        <f t="shared" si="135"/>
        <v>0</v>
      </c>
      <c r="M367" s="482">
        <f t="shared" si="135"/>
        <v>0</v>
      </c>
      <c r="N367" s="494">
        <f t="shared" si="135"/>
        <v>0</v>
      </c>
      <c r="O367" s="70"/>
    </row>
    <row r="368" spans="1:15" ht="12.75">
      <c r="A368" s="63"/>
      <c r="B368" s="63"/>
      <c r="C368" s="59"/>
      <c r="D368" s="1" t="s">
        <v>190</v>
      </c>
      <c r="E368" s="16" t="s">
        <v>299</v>
      </c>
      <c r="F368" s="61">
        <f t="shared" si="116"/>
        <v>-6837.174999999999</v>
      </c>
      <c r="G368" s="452"/>
      <c r="H368" s="142"/>
      <c r="I368" s="462"/>
      <c r="J368" s="90"/>
      <c r="K368" s="94">
        <f>2304.065-3252.24-5889</f>
        <v>-6837.174999999999</v>
      </c>
      <c r="L368" s="474"/>
      <c r="M368" s="482"/>
      <c r="N368" s="494"/>
      <c r="O368" s="70"/>
    </row>
    <row r="369" spans="1:15" ht="12.75">
      <c r="A369" s="63"/>
      <c r="B369" s="35" t="s">
        <v>98</v>
      </c>
      <c r="C369" s="1"/>
      <c r="D369" s="1"/>
      <c r="E369" s="16" t="s">
        <v>99</v>
      </c>
      <c r="F369" s="61">
        <f t="shared" si="116"/>
        <v>8858.1</v>
      </c>
      <c r="G369" s="452">
        <f aca="true" t="shared" si="136" ref="G369:N369">G370</f>
        <v>0</v>
      </c>
      <c r="H369" s="142">
        <f t="shared" si="136"/>
        <v>0</v>
      </c>
      <c r="I369" s="462">
        <f t="shared" si="136"/>
        <v>0</v>
      </c>
      <c r="J369" s="90">
        <f t="shared" si="136"/>
        <v>0</v>
      </c>
      <c r="K369" s="94">
        <f t="shared" si="136"/>
        <v>5227</v>
      </c>
      <c r="L369" s="474">
        <f t="shared" si="136"/>
        <v>0</v>
      </c>
      <c r="M369" s="482">
        <f t="shared" si="136"/>
        <v>3631.1</v>
      </c>
      <c r="N369" s="494">
        <f t="shared" si="136"/>
        <v>0</v>
      </c>
      <c r="O369" s="70"/>
    </row>
    <row r="370" spans="1:15" ht="12.75">
      <c r="A370" s="63"/>
      <c r="B370" s="63"/>
      <c r="C370" s="1" t="s">
        <v>37</v>
      </c>
      <c r="D370" s="1"/>
      <c r="E370" s="16" t="s">
        <v>38</v>
      </c>
      <c r="F370" s="61">
        <f t="shared" si="116"/>
        <v>8858.1</v>
      </c>
      <c r="G370" s="452">
        <f>G371+G378</f>
        <v>0</v>
      </c>
      <c r="H370" s="142">
        <f aca="true" t="shared" si="137" ref="H370:N370">H371+H378</f>
        <v>0</v>
      </c>
      <c r="I370" s="462">
        <f t="shared" si="137"/>
        <v>0</v>
      </c>
      <c r="J370" s="90">
        <f t="shared" si="137"/>
        <v>0</v>
      </c>
      <c r="K370" s="94">
        <f t="shared" si="137"/>
        <v>5227</v>
      </c>
      <c r="L370" s="474">
        <f t="shared" si="137"/>
        <v>0</v>
      </c>
      <c r="M370" s="482">
        <f t="shared" si="137"/>
        <v>3631.1</v>
      </c>
      <c r="N370" s="494">
        <f t="shared" si="137"/>
        <v>0</v>
      </c>
      <c r="O370" s="70"/>
    </row>
    <row r="371" spans="1:15" ht="25.5">
      <c r="A371" s="63"/>
      <c r="B371" s="63"/>
      <c r="C371" s="59" t="s">
        <v>39</v>
      </c>
      <c r="D371" s="1"/>
      <c r="E371" s="16" t="s">
        <v>40</v>
      </c>
      <c r="F371" s="61">
        <f>F372+F375</f>
        <v>8010.1</v>
      </c>
      <c r="G371" s="61">
        <f aca="true" t="shared" si="138" ref="G371:N371">G372+G375</f>
        <v>0</v>
      </c>
      <c r="H371" s="61">
        <f t="shared" si="138"/>
        <v>0</v>
      </c>
      <c r="I371" s="61">
        <f t="shared" si="138"/>
        <v>0</v>
      </c>
      <c r="J371" s="61">
        <f t="shared" si="138"/>
        <v>0</v>
      </c>
      <c r="K371" s="61">
        <f>K372+K375</f>
        <v>5227</v>
      </c>
      <c r="L371" s="61">
        <f t="shared" si="138"/>
        <v>0</v>
      </c>
      <c r="M371" s="61">
        <f t="shared" si="138"/>
        <v>2783.1</v>
      </c>
      <c r="N371" s="61">
        <f t="shared" si="138"/>
        <v>0</v>
      </c>
      <c r="O371" s="70"/>
    </row>
    <row r="372" spans="1:15" ht="12.75">
      <c r="A372" s="63"/>
      <c r="B372" s="63"/>
      <c r="C372" s="59" t="s">
        <v>664</v>
      </c>
      <c r="D372" s="1"/>
      <c r="E372" s="16" t="s">
        <v>101</v>
      </c>
      <c r="F372" s="61">
        <f>F373</f>
        <v>5210.1</v>
      </c>
      <c r="G372" s="61">
        <f aca="true" t="shared" si="139" ref="G372:N373">G373</f>
        <v>0</v>
      </c>
      <c r="H372" s="61">
        <f t="shared" si="139"/>
        <v>0</v>
      </c>
      <c r="I372" s="61">
        <f t="shared" si="139"/>
        <v>0</v>
      </c>
      <c r="J372" s="61">
        <f t="shared" si="139"/>
        <v>0</v>
      </c>
      <c r="K372" s="61">
        <f t="shared" si="139"/>
        <v>2427</v>
      </c>
      <c r="L372" s="61">
        <f t="shared" si="139"/>
        <v>0</v>
      </c>
      <c r="M372" s="61">
        <f t="shared" si="139"/>
        <v>2783.1</v>
      </c>
      <c r="N372" s="61">
        <f t="shared" si="139"/>
        <v>0</v>
      </c>
      <c r="O372" s="70"/>
    </row>
    <row r="373" spans="1:15" ht="12.75">
      <c r="A373" s="63"/>
      <c r="B373" s="63"/>
      <c r="C373" s="59"/>
      <c r="D373" s="1" t="s">
        <v>230</v>
      </c>
      <c r="E373" s="16" t="s">
        <v>231</v>
      </c>
      <c r="F373" s="61">
        <f>F374</f>
        <v>5210.1</v>
      </c>
      <c r="G373" s="61">
        <f t="shared" si="139"/>
        <v>0</v>
      </c>
      <c r="H373" s="61">
        <f t="shared" si="139"/>
        <v>0</v>
      </c>
      <c r="I373" s="61">
        <f t="shared" si="139"/>
        <v>0</v>
      </c>
      <c r="J373" s="61">
        <f t="shared" si="139"/>
        <v>0</v>
      </c>
      <c r="K373" s="61">
        <f t="shared" si="139"/>
        <v>2427</v>
      </c>
      <c r="L373" s="61">
        <f t="shared" si="139"/>
        <v>0</v>
      </c>
      <c r="M373" s="61">
        <f t="shared" si="139"/>
        <v>2783.1</v>
      </c>
      <c r="N373" s="61">
        <f t="shared" si="139"/>
        <v>0</v>
      </c>
      <c r="O373" s="70"/>
    </row>
    <row r="374" spans="1:15" ht="25.5">
      <c r="A374" s="63"/>
      <c r="B374" s="63"/>
      <c r="C374" s="59"/>
      <c r="D374" s="1" t="s">
        <v>127</v>
      </c>
      <c r="E374" s="16" t="s">
        <v>1197</v>
      </c>
      <c r="F374" s="61">
        <f>G374+H374+I374+J374+K374+L374+M374+N374</f>
        <v>5210.1</v>
      </c>
      <c r="G374" s="452"/>
      <c r="H374" s="142"/>
      <c r="I374" s="462"/>
      <c r="J374" s="90"/>
      <c r="K374" s="94">
        <v>2427</v>
      </c>
      <c r="L374" s="474"/>
      <c r="M374" s="482">
        <f>3177.6-394.5</f>
        <v>2783.1</v>
      </c>
      <c r="N374" s="494"/>
      <c r="O374" s="70"/>
    </row>
    <row r="375" spans="1:15" ht="12.75">
      <c r="A375" s="63"/>
      <c r="B375" s="63"/>
      <c r="C375" s="59" t="s">
        <v>195</v>
      </c>
      <c r="D375" s="1"/>
      <c r="E375" s="16" t="s">
        <v>194</v>
      </c>
      <c r="F375" s="61">
        <f t="shared" si="116"/>
        <v>2800</v>
      </c>
      <c r="G375" s="452">
        <f aca="true" t="shared" si="140" ref="G375:N376">G376</f>
        <v>0</v>
      </c>
      <c r="H375" s="142">
        <f t="shared" si="140"/>
        <v>0</v>
      </c>
      <c r="I375" s="462">
        <f t="shared" si="140"/>
        <v>0</v>
      </c>
      <c r="J375" s="90">
        <f t="shared" si="140"/>
        <v>0</v>
      </c>
      <c r="K375" s="94">
        <f t="shared" si="140"/>
        <v>2800</v>
      </c>
      <c r="L375" s="474">
        <f t="shared" si="140"/>
        <v>0</v>
      </c>
      <c r="M375" s="482">
        <f t="shared" si="140"/>
        <v>0</v>
      </c>
      <c r="N375" s="494">
        <f t="shared" si="140"/>
        <v>0</v>
      </c>
      <c r="O375" s="70"/>
    </row>
    <row r="376" spans="1:15" ht="12.75">
      <c r="A376" s="63"/>
      <c r="B376" s="63"/>
      <c r="C376" s="59"/>
      <c r="D376" s="1" t="s">
        <v>210</v>
      </c>
      <c r="E376" s="16" t="s">
        <v>211</v>
      </c>
      <c r="F376" s="61">
        <f t="shared" si="116"/>
        <v>2800</v>
      </c>
      <c r="G376" s="452">
        <f t="shared" si="140"/>
        <v>0</v>
      </c>
      <c r="H376" s="142">
        <f t="shared" si="140"/>
        <v>0</v>
      </c>
      <c r="I376" s="462">
        <f t="shared" si="140"/>
        <v>0</v>
      </c>
      <c r="J376" s="90">
        <f t="shared" si="140"/>
        <v>0</v>
      </c>
      <c r="K376" s="94">
        <f t="shared" si="140"/>
        <v>2800</v>
      </c>
      <c r="L376" s="474">
        <f t="shared" si="140"/>
        <v>0</v>
      </c>
      <c r="M376" s="482">
        <f t="shared" si="140"/>
        <v>0</v>
      </c>
      <c r="N376" s="494">
        <f t="shared" si="140"/>
        <v>0</v>
      </c>
      <c r="O376" s="70"/>
    </row>
    <row r="377" spans="1:15" ht="12.75">
      <c r="A377" s="63"/>
      <c r="B377" s="63"/>
      <c r="C377" s="59"/>
      <c r="D377" s="1" t="s">
        <v>8</v>
      </c>
      <c r="E377" s="16" t="s">
        <v>216</v>
      </c>
      <c r="F377" s="61">
        <f t="shared" si="116"/>
        <v>2800</v>
      </c>
      <c r="G377" s="452"/>
      <c r="H377" s="142"/>
      <c r="I377" s="462"/>
      <c r="J377" s="90"/>
      <c r="K377" s="94">
        <v>2800</v>
      </c>
      <c r="L377" s="474"/>
      <c r="M377" s="482"/>
      <c r="N377" s="494"/>
      <c r="O377" s="70"/>
    </row>
    <row r="378" spans="1:15" ht="38.25">
      <c r="A378" s="63"/>
      <c r="B378" s="63"/>
      <c r="C378" s="59" t="s">
        <v>102</v>
      </c>
      <c r="D378" s="1"/>
      <c r="E378" s="16" t="s">
        <v>103</v>
      </c>
      <c r="F378" s="61">
        <f t="shared" si="116"/>
        <v>848</v>
      </c>
      <c r="G378" s="452">
        <f>G379</f>
        <v>0</v>
      </c>
      <c r="H378" s="142">
        <f aca="true" t="shared" si="141" ref="H378:N380">H379</f>
        <v>0</v>
      </c>
      <c r="I378" s="462">
        <f t="shared" si="141"/>
        <v>0</v>
      </c>
      <c r="J378" s="90">
        <f t="shared" si="141"/>
        <v>0</v>
      </c>
      <c r="K378" s="94">
        <f t="shared" si="141"/>
        <v>0</v>
      </c>
      <c r="L378" s="474">
        <f t="shared" si="141"/>
        <v>0</v>
      </c>
      <c r="M378" s="482">
        <f t="shared" si="141"/>
        <v>848</v>
      </c>
      <c r="N378" s="494">
        <f t="shared" si="141"/>
        <v>0</v>
      </c>
      <c r="O378" s="70"/>
    </row>
    <row r="379" spans="1:15" ht="12.75">
      <c r="A379" s="63"/>
      <c r="B379" s="63"/>
      <c r="C379" s="59" t="s">
        <v>302</v>
      </c>
      <c r="D379" s="1"/>
      <c r="E379" s="16" t="s">
        <v>188</v>
      </c>
      <c r="F379" s="61">
        <f t="shared" si="116"/>
        <v>848</v>
      </c>
      <c r="G379" s="452">
        <f>G380</f>
        <v>0</v>
      </c>
      <c r="H379" s="142">
        <f t="shared" si="141"/>
        <v>0</v>
      </c>
      <c r="I379" s="462">
        <f t="shared" si="141"/>
        <v>0</v>
      </c>
      <c r="J379" s="90">
        <f t="shared" si="141"/>
        <v>0</v>
      </c>
      <c r="K379" s="94">
        <f t="shared" si="141"/>
        <v>0</v>
      </c>
      <c r="L379" s="474">
        <f t="shared" si="141"/>
        <v>0</v>
      </c>
      <c r="M379" s="482">
        <f t="shared" si="141"/>
        <v>848</v>
      </c>
      <c r="N379" s="494">
        <f t="shared" si="141"/>
        <v>0</v>
      </c>
      <c r="O379" s="70"/>
    </row>
    <row r="380" spans="1:15" ht="12.75">
      <c r="A380" s="63"/>
      <c r="B380" s="63"/>
      <c r="C380" s="59"/>
      <c r="D380" s="1" t="s">
        <v>212</v>
      </c>
      <c r="E380" s="16" t="s">
        <v>45</v>
      </c>
      <c r="F380" s="61">
        <f t="shared" si="116"/>
        <v>848</v>
      </c>
      <c r="G380" s="452">
        <f>G381</f>
        <v>0</v>
      </c>
      <c r="H380" s="142">
        <f t="shared" si="141"/>
        <v>0</v>
      </c>
      <c r="I380" s="462">
        <f t="shared" si="141"/>
        <v>0</v>
      </c>
      <c r="J380" s="90">
        <f t="shared" si="141"/>
        <v>0</v>
      </c>
      <c r="K380" s="94">
        <f t="shared" si="141"/>
        <v>0</v>
      </c>
      <c r="L380" s="474">
        <f t="shared" si="141"/>
        <v>0</v>
      </c>
      <c r="M380" s="482">
        <f t="shared" si="141"/>
        <v>848</v>
      </c>
      <c r="N380" s="494">
        <f t="shared" si="141"/>
        <v>0</v>
      </c>
      <c r="O380" s="70"/>
    </row>
    <row r="381" spans="1:15" ht="25.5">
      <c r="A381" s="63"/>
      <c r="B381" s="63"/>
      <c r="C381" s="59"/>
      <c r="D381" s="1" t="s">
        <v>125</v>
      </c>
      <c r="E381" s="16" t="s">
        <v>290</v>
      </c>
      <c r="F381" s="61">
        <f t="shared" si="116"/>
        <v>848</v>
      </c>
      <c r="G381" s="452"/>
      <c r="H381" s="142"/>
      <c r="I381" s="462"/>
      <c r="J381" s="90"/>
      <c r="K381" s="94"/>
      <c r="L381" s="474"/>
      <c r="M381" s="482">
        <v>848</v>
      </c>
      <c r="N381" s="494"/>
      <c r="O381" s="70"/>
    </row>
    <row r="382" spans="1:15" ht="12.75">
      <c r="A382" s="63"/>
      <c r="B382" s="1" t="s">
        <v>15</v>
      </c>
      <c r="C382" s="1"/>
      <c r="D382" s="1"/>
      <c r="E382" s="16" t="s">
        <v>49</v>
      </c>
      <c r="F382" s="61">
        <f t="shared" si="116"/>
        <v>715.4000000000001</v>
      </c>
      <c r="G382" s="452">
        <f>G383+G388</f>
        <v>0</v>
      </c>
      <c r="H382" s="142">
        <f aca="true" t="shared" si="142" ref="H382:N382">H383+H388</f>
        <v>0</v>
      </c>
      <c r="I382" s="462">
        <f t="shared" si="142"/>
        <v>0</v>
      </c>
      <c r="J382" s="90">
        <f t="shared" si="142"/>
        <v>0</v>
      </c>
      <c r="K382" s="94">
        <f t="shared" si="142"/>
        <v>298.3</v>
      </c>
      <c r="L382" s="474">
        <f t="shared" si="142"/>
        <v>0</v>
      </c>
      <c r="M382" s="482">
        <f t="shared" si="142"/>
        <v>427.1</v>
      </c>
      <c r="N382" s="494">
        <f t="shared" si="142"/>
        <v>-10</v>
      </c>
      <c r="O382" s="70"/>
    </row>
    <row r="383" spans="1:15" ht="12.75">
      <c r="A383" s="63"/>
      <c r="B383" s="1"/>
      <c r="C383" s="1" t="s">
        <v>91</v>
      </c>
      <c r="D383" s="1"/>
      <c r="E383" s="16" t="s">
        <v>92</v>
      </c>
      <c r="F383" s="61">
        <f t="shared" si="116"/>
        <v>-10</v>
      </c>
      <c r="G383" s="452">
        <f>G384</f>
        <v>0</v>
      </c>
      <c r="H383" s="142">
        <f aca="true" t="shared" si="143" ref="H383:N386">H384</f>
        <v>0</v>
      </c>
      <c r="I383" s="462">
        <f t="shared" si="143"/>
        <v>0</v>
      </c>
      <c r="J383" s="90">
        <f t="shared" si="143"/>
        <v>0</v>
      </c>
      <c r="K383" s="94">
        <f t="shared" si="143"/>
        <v>0</v>
      </c>
      <c r="L383" s="474">
        <f t="shared" si="143"/>
        <v>0</v>
      </c>
      <c r="M383" s="482">
        <f t="shared" si="143"/>
        <v>0</v>
      </c>
      <c r="N383" s="494">
        <f t="shared" si="143"/>
        <v>-10</v>
      </c>
      <c r="O383" s="70"/>
    </row>
    <row r="384" spans="1:15" ht="12.75">
      <c r="A384" s="63"/>
      <c r="B384" s="1"/>
      <c r="C384" s="1" t="s">
        <v>301</v>
      </c>
      <c r="D384" s="1"/>
      <c r="E384" s="16" t="s">
        <v>114</v>
      </c>
      <c r="F384" s="61">
        <f t="shared" si="116"/>
        <v>-10</v>
      </c>
      <c r="G384" s="452">
        <f>G385</f>
        <v>0</v>
      </c>
      <c r="H384" s="142">
        <f t="shared" si="143"/>
        <v>0</v>
      </c>
      <c r="I384" s="462">
        <f t="shared" si="143"/>
        <v>0</v>
      </c>
      <c r="J384" s="90">
        <f t="shared" si="143"/>
        <v>0</v>
      </c>
      <c r="K384" s="94">
        <f t="shared" si="143"/>
        <v>0</v>
      </c>
      <c r="L384" s="474">
        <f t="shared" si="143"/>
        <v>0</v>
      </c>
      <c r="M384" s="482">
        <f t="shared" si="143"/>
        <v>0</v>
      </c>
      <c r="N384" s="494">
        <f t="shared" si="143"/>
        <v>-10</v>
      </c>
      <c r="O384" s="70"/>
    </row>
    <row r="385" spans="1:15" ht="12.75">
      <c r="A385" s="63"/>
      <c r="B385" s="1"/>
      <c r="C385" s="1" t="s">
        <v>193</v>
      </c>
      <c r="D385" s="1"/>
      <c r="E385" s="16" t="s">
        <v>115</v>
      </c>
      <c r="F385" s="61">
        <f t="shared" si="116"/>
        <v>-10</v>
      </c>
      <c r="G385" s="452">
        <f>G386</f>
        <v>0</v>
      </c>
      <c r="H385" s="142">
        <f t="shared" si="143"/>
        <v>0</v>
      </c>
      <c r="I385" s="462">
        <f t="shared" si="143"/>
        <v>0</v>
      </c>
      <c r="J385" s="90">
        <f t="shared" si="143"/>
        <v>0</v>
      </c>
      <c r="K385" s="94">
        <f t="shared" si="143"/>
        <v>0</v>
      </c>
      <c r="L385" s="474">
        <f t="shared" si="143"/>
        <v>0</v>
      </c>
      <c r="M385" s="482">
        <f t="shared" si="143"/>
        <v>0</v>
      </c>
      <c r="N385" s="494">
        <f t="shared" si="143"/>
        <v>-10</v>
      </c>
      <c r="O385" s="70"/>
    </row>
    <row r="386" spans="1:15" ht="12.75">
      <c r="A386" s="63"/>
      <c r="B386" s="1"/>
      <c r="C386" s="1"/>
      <c r="D386" s="1" t="s">
        <v>210</v>
      </c>
      <c r="E386" s="16" t="s">
        <v>211</v>
      </c>
      <c r="F386" s="61">
        <f t="shared" si="116"/>
        <v>-10</v>
      </c>
      <c r="G386" s="452">
        <f>G387</f>
        <v>0</v>
      </c>
      <c r="H386" s="142">
        <f t="shared" si="143"/>
        <v>0</v>
      </c>
      <c r="I386" s="462">
        <f t="shared" si="143"/>
        <v>0</v>
      </c>
      <c r="J386" s="90">
        <f t="shared" si="143"/>
        <v>0</v>
      </c>
      <c r="K386" s="94">
        <f t="shared" si="143"/>
        <v>0</v>
      </c>
      <c r="L386" s="474">
        <f t="shared" si="143"/>
        <v>0</v>
      </c>
      <c r="M386" s="482">
        <f t="shared" si="143"/>
        <v>0</v>
      </c>
      <c r="N386" s="494">
        <f t="shared" si="143"/>
        <v>-10</v>
      </c>
      <c r="O386" s="70"/>
    </row>
    <row r="387" spans="1:15" ht="12.75">
      <c r="A387" s="63"/>
      <c r="B387" s="1"/>
      <c r="C387" s="1"/>
      <c r="D387" s="1" t="s">
        <v>8</v>
      </c>
      <c r="E387" s="16" t="s">
        <v>216</v>
      </c>
      <c r="F387" s="61">
        <f t="shared" si="116"/>
        <v>-10</v>
      </c>
      <c r="G387" s="452"/>
      <c r="H387" s="142"/>
      <c r="I387" s="462"/>
      <c r="J387" s="90"/>
      <c r="K387" s="94"/>
      <c r="L387" s="474"/>
      <c r="M387" s="482"/>
      <c r="N387" s="494">
        <v>-10</v>
      </c>
      <c r="O387" s="70"/>
    </row>
    <row r="388" spans="1:15" ht="12.75">
      <c r="A388" s="63"/>
      <c r="B388" s="63"/>
      <c r="C388" s="1" t="s">
        <v>37</v>
      </c>
      <c r="D388" s="1"/>
      <c r="E388" s="16" t="s">
        <v>213</v>
      </c>
      <c r="F388" s="61">
        <f t="shared" si="116"/>
        <v>725.4000000000001</v>
      </c>
      <c r="G388" s="452">
        <f>G389</f>
        <v>0</v>
      </c>
      <c r="H388" s="142">
        <f aca="true" t="shared" si="144" ref="H388:N388">H389</f>
        <v>0</v>
      </c>
      <c r="I388" s="462">
        <f t="shared" si="144"/>
        <v>0</v>
      </c>
      <c r="J388" s="90">
        <f t="shared" si="144"/>
        <v>0</v>
      </c>
      <c r="K388" s="94">
        <f t="shared" si="144"/>
        <v>298.3</v>
      </c>
      <c r="L388" s="474">
        <f t="shared" si="144"/>
        <v>0</v>
      </c>
      <c r="M388" s="482">
        <f t="shared" si="144"/>
        <v>427.1</v>
      </c>
      <c r="N388" s="494">
        <f t="shared" si="144"/>
        <v>0</v>
      </c>
      <c r="O388" s="70"/>
    </row>
    <row r="389" spans="1:15" ht="25.5">
      <c r="A389" s="63"/>
      <c r="B389" s="63"/>
      <c r="C389" s="1" t="s">
        <v>39</v>
      </c>
      <c r="D389" s="1"/>
      <c r="E389" s="16" t="s">
        <v>40</v>
      </c>
      <c r="F389" s="61">
        <f>F390+F393+F396+F399</f>
        <v>725.4000000000001</v>
      </c>
      <c r="G389" s="61">
        <f aca="true" t="shared" si="145" ref="G389:N389">G390+G393+G396+G399</f>
        <v>0</v>
      </c>
      <c r="H389" s="61">
        <f t="shared" si="145"/>
        <v>0</v>
      </c>
      <c r="I389" s="61">
        <f t="shared" si="145"/>
        <v>0</v>
      </c>
      <c r="J389" s="61">
        <f t="shared" si="145"/>
        <v>0</v>
      </c>
      <c r="K389" s="61">
        <f t="shared" si="145"/>
        <v>298.3</v>
      </c>
      <c r="L389" s="61">
        <f t="shared" si="145"/>
        <v>0</v>
      </c>
      <c r="M389" s="61">
        <f t="shared" si="145"/>
        <v>427.1</v>
      </c>
      <c r="N389" s="61">
        <f t="shared" si="145"/>
        <v>0</v>
      </c>
      <c r="O389" s="70"/>
    </row>
    <row r="390" spans="1:15" ht="25.5">
      <c r="A390" s="63"/>
      <c r="B390" s="63"/>
      <c r="C390" s="59" t="s">
        <v>180</v>
      </c>
      <c r="D390" s="1"/>
      <c r="E390" s="16" t="s">
        <v>139</v>
      </c>
      <c r="F390" s="61">
        <f t="shared" si="116"/>
        <v>56</v>
      </c>
      <c r="G390" s="452">
        <f>G391</f>
        <v>0</v>
      </c>
      <c r="H390" s="142">
        <f aca="true" t="shared" si="146" ref="H390:N391">H391</f>
        <v>0</v>
      </c>
      <c r="I390" s="462">
        <f t="shared" si="146"/>
        <v>0</v>
      </c>
      <c r="J390" s="90">
        <f t="shared" si="146"/>
        <v>0</v>
      </c>
      <c r="K390" s="94">
        <f t="shared" si="146"/>
        <v>56</v>
      </c>
      <c r="L390" s="474">
        <f t="shared" si="146"/>
        <v>0</v>
      </c>
      <c r="M390" s="482">
        <f t="shared" si="146"/>
        <v>0</v>
      </c>
      <c r="N390" s="494">
        <f t="shared" si="146"/>
        <v>0</v>
      </c>
      <c r="O390" s="70"/>
    </row>
    <row r="391" spans="1:15" ht="27.75" customHeight="1">
      <c r="A391" s="63"/>
      <c r="B391" s="63"/>
      <c r="C391" s="59"/>
      <c r="D391" s="1" t="s">
        <v>227</v>
      </c>
      <c r="E391" s="16" t="s">
        <v>1213</v>
      </c>
      <c r="F391" s="61">
        <f t="shared" si="116"/>
        <v>56</v>
      </c>
      <c r="G391" s="452">
        <f>G392</f>
        <v>0</v>
      </c>
      <c r="H391" s="142">
        <f t="shared" si="146"/>
        <v>0</v>
      </c>
      <c r="I391" s="462">
        <f t="shared" si="146"/>
        <v>0</v>
      </c>
      <c r="J391" s="90">
        <f t="shared" si="146"/>
        <v>0</v>
      </c>
      <c r="K391" s="94">
        <f t="shared" si="146"/>
        <v>56</v>
      </c>
      <c r="L391" s="474">
        <f t="shared" si="146"/>
        <v>0</v>
      </c>
      <c r="M391" s="482">
        <f t="shared" si="146"/>
        <v>0</v>
      </c>
      <c r="N391" s="494">
        <f t="shared" si="146"/>
        <v>0</v>
      </c>
      <c r="O391" s="70"/>
    </row>
    <row r="392" spans="1:15" ht="12.75">
      <c r="A392" s="63"/>
      <c r="B392" s="63"/>
      <c r="C392" s="59"/>
      <c r="D392" s="1" t="s">
        <v>241</v>
      </c>
      <c r="E392" s="16" t="s">
        <v>219</v>
      </c>
      <c r="F392" s="61">
        <f t="shared" si="116"/>
        <v>56</v>
      </c>
      <c r="G392" s="452"/>
      <c r="H392" s="142"/>
      <c r="I392" s="462"/>
      <c r="J392" s="90"/>
      <c r="K392" s="94">
        <v>56</v>
      </c>
      <c r="L392" s="474"/>
      <c r="M392" s="482"/>
      <c r="N392" s="494"/>
      <c r="O392" s="70"/>
    </row>
    <row r="393" spans="1:15" ht="12.75">
      <c r="A393" s="63"/>
      <c r="B393" s="63"/>
      <c r="C393" s="59" t="s">
        <v>181</v>
      </c>
      <c r="D393" s="1"/>
      <c r="E393" s="16" t="s">
        <v>126</v>
      </c>
      <c r="F393" s="61">
        <f t="shared" si="116"/>
        <v>26</v>
      </c>
      <c r="G393" s="452">
        <f>G394</f>
        <v>0</v>
      </c>
      <c r="H393" s="142">
        <f aca="true" t="shared" si="147" ref="H393:N394">H394</f>
        <v>0</v>
      </c>
      <c r="I393" s="462">
        <f t="shared" si="147"/>
        <v>0</v>
      </c>
      <c r="J393" s="90">
        <f t="shared" si="147"/>
        <v>0</v>
      </c>
      <c r="K393" s="94">
        <f t="shared" si="147"/>
        <v>26</v>
      </c>
      <c r="L393" s="474">
        <f t="shared" si="147"/>
        <v>0</v>
      </c>
      <c r="M393" s="482">
        <f t="shared" si="147"/>
        <v>0</v>
      </c>
      <c r="N393" s="494">
        <f t="shared" si="147"/>
        <v>0</v>
      </c>
      <c r="O393" s="70"/>
    </row>
    <row r="394" spans="1:15" ht="26.25" customHeight="1">
      <c r="A394" s="63"/>
      <c r="B394" s="63"/>
      <c r="C394" s="59"/>
      <c r="D394" s="1" t="s">
        <v>227</v>
      </c>
      <c r="E394" s="16" t="s">
        <v>1213</v>
      </c>
      <c r="F394" s="61">
        <f t="shared" si="116"/>
        <v>26</v>
      </c>
      <c r="G394" s="452">
        <f>G395</f>
        <v>0</v>
      </c>
      <c r="H394" s="142">
        <f t="shared" si="147"/>
        <v>0</v>
      </c>
      <c r="I394" s="462">
        <f t="shared" si="147"/>
        <v>0</v>
      </c>
      <c r="J394" s="90">
        <f t="shared" si="147"/>
        <v>0</v>
      </c>
      <c r="K394" s="94">
        <f t="shared" si="147"/>
        <v>26</v>
      </c>
      <c r="L394" s="474">
        <f t="shared" si="147"/>
        <v>0</v>
      </c>
      <c r="M394" s="482">
        <f t="shared" si="147"/>
        <v>0</v>
      </c>
      <c r="N394" s="494">
        <f t="shared" si="147"/>
        <v>0</v>
      </c>
      <c r="O394" s="70"/>
    </row>
    <row r="395" spans="1:15" ht="12.75">
      <c r="A395" s="63"/>
      <c r="B395" s="63"/>
      <c r="C395" s="59"/>
      <c r="D395" s="1" t="s">
        <v>241</v>
      </c>
      <c r="E395" s="16" t="s">
        <v>219</v>
      </c>
      <c r="F395" s="61">
        <f t="shared" si="116"/>
        <v>26</v>
      </c>
      <c r="G395" s="452"/>
      <c r="H395" s="142"/>
      <c r="I395" s="462"/>
      <c r="J395" s="90"/>
      <c r="K395" s="94">
        <f>52-26</f>
        <v>26</v>
      </c>
      <c r="L395" s="474"/>
      <c r="M395" s="482"/>
      <c r="N395" s="494"/>
      <c r="O395" s="70"/>
    </row>
    <row r="396" spans="1:15" ht="25.5">
      <c r="A396" s="63"/>
      <c r="B396" s="63"/>
      <c r="C396" s="59" t="s">
        <v>300</v>
      </c>
      <c r="D396" s="1"/>
      <c r="E396" s="16" t="s">
        <v>107</v>
      </c>
      <c r="F396" s="61">
        <f t="shared" si="116"/>
        <v>55.2</v>
      </c>
      <c r="G396" s="452">
        <f>G397</f>
        <v>0</v>
      </c>
      <c r="H396" s="142">
        <f aca="true" t="shared" si="148" ref="H396:N397">H397</f>
        <v>0</v>
      </c>
      <c r="I396" s="462">
        <f t="shared" si="148"/>
        <v>0</v>
      </c>
      <c r="J396" s="90">
        <f t="shared" si="148"/>
        <v>0</v>
      </c>
      <c r="K396" s="94">
        <f t="shared" si="148"/>
        <v>55.2</v>
      </c>
      <c r="L396" s="474">
        <f t="shared" si="148"/>
        <v>0</v>
      </c>
      <c r="M396" s="482">
        <f t="shared" si="148"/>
        <v>0</v>
      </c>
      <c r="N396" s="494">
        <f t="shared" si="148"/>
        <v>0</v>
      </c>
      <c r="O396" s="70"/>
    </row>
    <row r="397" spans="1:15" ht="27" customHeight="1">
      <c r="A397" s="63"/>
      <c r="B397" s="63"/>
      <c r="C397" s="59"/>
      <c r="D397" s="1" t="s">
        <v>227</v>
      </c>
      <c r="E397" s="16" t="s">
        <v>1213</v>
      </c>
      <c r="F397" s="61">
        <f t="shared" si="116"/>
        <v>55.2</v>
      </c>
      <c r="G397" s="452">
        <f>G398</f>
        <v>0</v>
      </c>
      <c r="H397" s="142">
        <f t="shared" si="148"/>
        <v>0</v>
      </c>
      <c r="I397" s="462">
        <f t="shared" si="148"/>
        <v>0</v>
      </c>
      <c r="J397" s="90">
        <f t="shared" si="148"/>
        <v>0</v>
      </c>
      <c r="K397" s="94">
        <f t="shared" si="148"/>
        <v>55.2</v>
      </c>
      <c r="L397" s="474">
        <f t="shared" si="148"/>
        <v>0</v>
      </c>
      <c r="M397" s="482">
        <f t="shared" si="148"/>
        <v>0</v>
      </c>
      <c r="N397" s="494">
        <f t="shared" si="148"/>
        <v>0</v>
      </c>
      <c r="O397" s="70"/>
    </row>
    <row r="398" spans="1:15" ht="12.75">
      <c r="A398" s="63"/>
      <c r="B398" s="63"/>
      <c r="C398" s="59"/>
      <c r="D398" s="1" t="s">
        <v>241</v>
      </c>
      <c r="E398" s="16" t="s">
        <v>219</v>
      </c>
      <c r="F398" s="61">
        <f t="shared" si="116"/>
        <v>55.2</v>
      </c>
      <c r="G398" s="452"/>
      <c r="H398" s="142"/>
      <c r="I398" s="462"/>
      <c r="J398" s="90"/>
      <c r="K398" s="94">
        <f>-26+7.5+18.4+67.5-12.2</f>
        <v>55.2</v>
      </c>
      <c r="L398" s="474"/>
      <c r="M398" s="482"/>
      <c r="N398" s="494"/>
      <c r="O398" s="70"/>
    </row>
    <row r="399" spans="1:15" ht="12.75">
      <c r="A399" s="63"/>
      <c r="B399" s="63"/>
      <c r="C399" s="59" t="s">
        <v>108</v>
      </c>
      <c r="D399" s="1"/>
      <c r="E399" s="16" t="s">
        <v>109</v>
      </c>
      <c r="F399" s="61">
        <f t="shared" si="116"/>
        <v>588.2</v>
      </c>
      <c r="G399" s="452">
        <f>G400</f>
        <v>0</v>
      </c>
      <c r="H399" s="142">
        <f aca="true" t="shared" si="149" ref="H399:N400">H400</f>
        <v>0</v>
      </c>
      <c r="I399" s="462">
        <f t="shared" si="149"/>
        <v>0</v>
      </c>
      <c r="J399" s="90">
        <f t="shared" si="149"/>
        <v>0</v>
      </c>
      <c r="K399" s="94">
        <f t="shared" si="149"/>
        <v>161.10000000000002</v>
      </c>
      <c r="L399" s="474">
        <f t="shared" si="149"/>
        <v>0</v>
      </c>
      <c r="M399" s="482">
        <f t="shared" si="149"/>
        <v>427.1</v>
      </c>
      <c r="N399" s="494">
        <f t="shared" si="149"/>
        <v>0</v>
      </c>
      <c r="O399" s="70"/>
    </row>
    <row r="400" spans="1:15" ht="27" customHeight="1">
      <c r="A400" s="63"/>
      <c r="B400" s="63"/>
      <c r="C400" s="59"/>
      <c r="D400" s="1" t="s">
        <v>227</v>
      </c>
      <c r="E400" s="16" t="s">
        <v>1213</v>
      </c>
      <c r="F400" s="61">
        <f t="shared" si="116"/>
        <v>588.2</v>
      </c>
      <c r="G400" s="452">
        <f>G401</f>
        <v>0</v>
      </c>
      <c r="H400" s="142">
        <f t="shared" si="149"/>
        <v>0</v>
      </c>
      <c r="I400" s="462">
        <f t="shared" si="149"/>
        <v>0</v>
      </c>
      <c r="J400" s="90">
        <f t="shared" si="149"/>
        <v>0</v>
      </c>
      <c r="K400" s="94">
        <f t="shared" si="149"/>
        <v>161.10000000000002</v>
      </c>
      <c r="L400" s="474">
        <f t="shared" si="149"/>
        <v>0</v>
      </c>
      <c r="M400" s="482">
        <f t="shared" si="149"/>
        <v>427.1</v>
      </c>
      <c r="N400" s="494">
        <f t="shared" si="149"/>
        <v>0</v>
      </c>
      <c r="O400" s="70"/>
    </row>
    <row r="401" spans="1:15" ht="12.75">
      <c r="A401" s="63"/>
      <c r="B401" s="63"/>
      <c r="C401" s="59"/>
      <c r="D401" s="1" t="s">
        <v>241</v>
      </c>
      <c r="E401" s="16" t="s">
        <v>219</v>
      </c>
      <c r="F401" s="61">
        <f>G401+H401+I401+J401+K401+L401+M401+N401</f>
        <v>588.2</v>
      </c>
      <c r="G401" s="452"/>
      <c r="H401" s="142"/>
      <c r="I401" s="462"/>
      <c r="J401" s="90"/>
      <c r="K401" s="94">
        <f>93.9+67.2</f>
        <v>161.10000000000002</v>
      </c>
      <c r="L401" s="474"/>
      <c r="M401" s="482">
        <f>521-93.9</f>
        <v>427.1</v>
      </c>
      <c r="N401" s="494"/>
      <c r="O401" s="70"/>
    </row>
    <row r="402" spans="1:15" ht="12.75">
      <c r="A402" s="63"/>
      <c r="B402" s="1" t="s">
        <v>60</v>
      </c>
      <c r="C402" s="1"/>
      <c r="D402" s="1"/>
      <c r="E402" s="5" t="s">
        <v>265</v>
      </c>
      <c r="F402" s="61">
        <f aca="true" t="shared" si="150" ref="F402:N407">F403</f>
        <v>200</v>
      </c>
      <c r="G402" s="451">
        <f t="shared" si="150"/>
        <v>0</v>
      </c>
      <c r="H402" s="141">
        <f t="shared" si="150"/>
        <v>200</v>
      </c>
      <c r="I402" s="461">
        <f t="shared" si="150"/>
        <v>0</v>
      </c>
      <c r="J402" s="89">
        <f t="shared" si="150"/>
        <v>0</v>
      </c>
      <c r="K402" s="93">
        <f t="shared" si="150"/>
        <v>0</v>
      </c>
      <c r="L402" s="471">
        <f t="shared" si="150"/>
        <v>0</v>
      </c>
      <c r="M402" s="481">
        <f t="shared" si="150"/>
        <v>0</v>
      </c>
      <c r="N402" s="491">
        <f t="shared" si="150"/>
        <v>0</v>
      </c>
      <c r="O402" s="70"/>
    </row>
    <row r="403" spans="1:15" ht="12.75">
      <c r="A403" s="63"/>
      <c r="B403" s="1" t="s">
        <v>61</v>
      </c>
      <c r="C403" s="1"/>
      <c r="D403" s="1"/>
      <c r="E403" s="16" t="s">
        <v>62</v>
      </c>
      <c r="F403" s="61">
        <f t="shared" si="150"/>
        <v>200</v>
      </c>
      <c r="G403" s="451">
        <f t="shared" si="150"/>
        <v>0</v>
      </c>
      <c r="H403" s="141">
        <f t="shared" si="150"/>
        <v>200</v>
      </c>
      <c r="I403" s="461">
        <f t="shared" si="150"/>
        <v>0</v>
      </c>
      <c r="J403" s="89">
        <f t="shared" si="150"/>
        <v>0</v>
      </c>
      <c r="K403" s="93">
        <f t="shared" si="150"/>
        <v>0</v>
      </c>
      <c r="L403" s="471">
        <f t="shared" si="150"/>
        <v>0</v>
      </c>
      <c r="M403" s="481">
        <f t="shared" si="150"/>
        <v>0</v>
      </c>
      <c r="N403" s="491">
        <f t="shared" si="150"/>
        <v>0</v>
      </c>
      <c r="O403" s="70"/>
    </row>
    <row r="404" spans="1:15" ht="12.75">
      <c r="A404" s="63"/>
      <c r="B404" s="63"/>
      <c r="C404" s="1" t="s">
        <v>54</v>
      </c>
      <c r="D404" s="1"/>
      <c r="E404" s="16" t="s">
        <v>55</v>
      </c>
      <c r="F404" s="61">
        <f t="shared" si="150"/>
        <v>200</v>
      </c>
      <c r="G404" s="451">
        <f t="shared" si="150"/>
        <v>0</v>
      </c>
      <c r="H404" s="141">
        <f t="shared" si="150"/>
        <v>200</v>
      </c>
      <c r="I404" s="461">
        <f t="shared" si="150"/>
        <v>0</v>
      </c>
      <c r="J404" s="89">
        <f t="shared" si="150"/>
        <v>0</v>
      </c>
      <c r="K404" s="93">
        <f t="shared" si="150"/>
        <v>0</v>
      </c>
      <c r="L404" s="471">
        <f t="shared" si="150"/>
        <v>0</v>
      </c>
      <c r="M404" s="481">
        <f t="shared" si="150"/>
        <v>0</v>
      </c>
      <c r="N404" s="491">
        <f t="shared" si="150"/>
        <v>0</v>
      </c>
      <c r="O404" s="70"/>
    </row>
    <row r="405" spans="1:15" ht="12.75">
      <c r="A405" s="63"/>
      <c r="B405" s="63"/>
      <c r="C405" s="1" t="s">
        <v>56</v>
      </c>
      <c r="D405" s="1"/>
      <c r="E405" s="16" t="s">
        <v>57</v>
      </c>
      <c r="F405" s="61">
        <f t="shared" si="150"/>
        <v>200</v>
      </c>
      <c r="G405" s="451">
        <f t="shared" si="150"/>
        <v>0</v>
      </c>
      <c r="H405" s="141">
        <f t="shared" si="150"/>
        <v>200</v>
      </c>
      <c r="I405" s="461">
        <f t="shared" si="150"/>
        <v>0</v>
      </c>
      <c r="J405" s="89">
        <f t="shared" si="150"/>
        <v>0</v>
      </c>
      <c r="K405" s="93">
        <f t="shared" si="150"/>
        <v>0</v>
      </c>
      <c r="L405" s="471">
        <f t="shared" si="150"/>
        <v>0</v>
      </c>
      <c r="M405" s="481">
        <f t="shared" si="150"/>
        <v>0</v>
      </c>
      <c r="N405" s="491">
        <f t="shared" si="150"/>
        <v>0</v>
      </c>
      <c r="O405" s="70"/>
    </row>
    <row r="406" spans="1:15" ht="36.75" customHeight="1">
      <c r="A406" s="63"/>
      <c r="B406" s="63"/>
      <c r="C406" s="59" t="s">
        <v>1044</v>
      </c>
      <c r="D406" s="1"/>
      <c r="E406" s="16" t="s">
        <v>1045</v>
      </c>
      <c r="F406" s="61">
        <f t="shared" si="150"/>
        <v>200</v>
      </c>
      <c r="G406" s="451">
        <f t="shared" si="150"/>
        <v>0</v>
      </c>
      <c r="H406" s="141">
        <f t="shared" si="150"/>
        <v>200</v>
      </c>
      <c r="I406" s="461">
        <f t="shared" si="150"/>
        <v>0</v>
      </c>
      <c r="J406" s="89">
        <f t="shared" si="150"/>
        <v>0</v>
      </c>
      <c r="K406" s="93">
        <f t="shared" si="150"/>
        <v>0</v>
      </c>
      <c r="L406" s="471">
        <f t="shared" si="150"/>
        <v>0</v>
      </c>
      <c r="M406" s="481">
        <f t="shared" si="150"/>
        <v>0</v>
      </c>
      <c r="N406" s="491">
        <f t="shared" si="150"/>
        <v>0</v>
      </c>
      <c r="O406" s="70"/>
    </row>
    <row r="407" spans="1:15" ht="12.75">
      <c r="A407" s="63"/>
      <c r="B407" s="63"/>
      <c r="C407" s="59"/>
      <c r="D407" s="1" t="s">
        <v>210</v>
      </c>
      <c r="E407" s="16" t="s">
        <v>211</v>
      </c>
      <c r="F407" s="61">
        <f t="shared" si="150"/>
        <v>200</v>
      </c>
      <c r="G407" s="451">
        <f t="shared" si="150"/>
        <v>0</v>
      </c>
      <c r="H407" s="141">
        <f t="shared" si="150"/>
        <v>200</v>
      </c>
      <c r="I407" s="461">
        <f t="shared" si="150"/>
        <v>0</v>
      </c>
      <c r="J407" s="89">
        <f t="shared" si="150"/>
        <v>0</v>
      </c>
      <c r="K407" s="93">
        <f t="shared" si="150"/>
        <v>0</v>
      </c>
      <c r="L407" s="471">
        <f t="shared" si="150"/>
        <v>0</v>
      </c>
      <c r="M407" s="481">
        <f t="shared" si="150"/>
        <v>0</v>
      </c>
      <c r="N407" s="491">
        <f t="shared" si="150"/>
        <v>0</v>
      </c>
      <c r="O407" s="70"/>
    </row>
    <row r="408" spans="1:15" ht="12.75">
      <c r="A408" s="63"/>
      <c r="B408" s="63"/>
      <c r="C408" s="59"/>
      <c r="D408" s="1" t="s">
        <v>8</v>
      </c>
      <c r="E408" s="16" t="s">
        <v>216</v>
      </c>
      <c r="F408" s="61">
        <f>G408+H408+I408+J408+K408+L408+M408+N408</f>
        <v>200</v>
      </c>
      <c r="G408" s="452"/>
      <c r="H408" s="142">
        <v>200</v>
      </c>
      <c r="I408" s="462"/>
      <c r="J408" s="90"/>
      <c r="K408" s="94"/>
      <c r="L408" s="474"/>
      <c r="M408" s="482"/>
      <c r="N408" s="494"/>
      <c r="O408" s="70"/>
    </row>
    <row r="409" spans="1:15" ht="25.5">
      <c r="A409" s="37" t="s">
        <v>2</v>
      </c>
      <c r="B409" s="37"/>
      <c r="C409" s="38"/>
      <c r="D409" s="38"/>
      <c r="E409" s="15" t="s">
        <v>223</v>
      </c>
      <c r="F409" s="66">
        <f aca="true" t="shared" si="151" ref="F409:N409">F410+F437+F430+F468</f>
        <v>28784.495</v>
      </c>
      <c r="G409" s="450">
        <f t="shared" si="151"/>
        <v>15885.313999999998</v>
      </c>
      <c r="H409" s="140">
        <f t="shared" si="151"/>
        <v>144</v>
      </c>
      <c r="I409" s="460">
        <f t="shared" si="151"/>
        <v>0</v>
      </c>
      <c r="J409" s="88">
        <f t="shared" si="151"/>
        <v>1124.997</v>
      </c>
      <c r="K409" s="92">
        <f t="shared" si="151"/>
        <v>1024.38</v>
      </c>
      <c r="L409" s="470">
        <f t="shared" si="151"/>
        <v>0</v>
      </c>
      <c r="M409" s="480">
        <f t="shared" si="151"/>
        <v>10605.804</v>
      </c>
      <c r="N409" s="490">
        <f t="shared" si="151"/>
        <v>0</v>
      </c>
      <c r="O409" s="70"/>
    </row>
    <row r="410" spans="1:15" ht="12.75">
      <c r="A410" s="63"/>
      <c r="B410" s="1" t="s">
        <v>26</v>
      </c>
      <c r="C410" s="1" t="s">
        <v>134</v>
      </c>
      <c r="D410" s="1" t="s">
        <v>134</v>
      </c>
      <c r="E410" s="49" t="s">
        <v>27</v>
      </c>
      <c r="F410" s="61">
        <f>F411+F417</f>
        <v>2841.4569999999994</v>
      </c>
      <c r="G410" s="451">
        <f aca="true" t="shared" si="152" ref="G410:N410">G411+G417</f>
        <v>470.014</v>
      </c>
      <c r="H410" s="141">
        <f t="shared" si="152"/>
        <v>0</v>
      </c>
      <c r="I410" s="461">
        <f t="shared" si="152"/>
        <v>0</v>
      </c>
      <c r="J410" s="89">
        <f t="shared" si="152"/>
        <v>287.997</v>
      </c>
      <c r="K410" s="93">
        <f t="shared" si="152"/>
        <v>0</v>
      </c>
      <c r="L410" s="471">
        <f t="shared" si="152"/>
        <v>0</v>
      </c>
      <c r="M410" s="481">
        <f t="shared" si="152"/>
        <v>2083.446</v>
      </c>
      <c r="N410" s="491">
        <f t="shared" si="152"/>
        <v>0</v>
      </c>
      <c r="O410" s="70"/>
    </row>
    <row r="411" spans="1:15" ht="25.5">
      <c r="A411" s="63"/>
      <c r="B411" s="83" t="s">
        <v>11</v>
      </c>
      <c r="C411" s="59"/>
      <c r="D411" s="1"/>
      <c r="E411" s="16" t="s">
        <v>347</v>
      </c>
      <c r="F411" s="61">
        <f>F412</f>
        <v>153.7</v>
      </c>
      <c r="G411" s="451">
        <f aca="true" t="shared" si="153" ref="G411:N415">G412</f>
        <v>153.7</v>
      </c>
      <c r="H411" s="141">
        <f t="shared" si="153"/>
        <v>0</v>
      </c>
      <c r="I411" s="461">
        <f t="shared" si="153"/>
        <v>0</v>
      </c>
      <c r="J411" s="89">
        <f t="shared" si="153"/>
        <v>0</v>
      </c>
      <c r="K411" s="93">
        <f t="shared" si="153"/>
        <v>0</v>
      </c>
      <c r="L411" s="471">
        <f t="shared" si="153"/>
        <v>0</v>
      </c>
      <c r="M411" s="481">
        <f t="shared" si="153"/>
        <v>0</v>
      </c>
      <c r="N411" s="491">
        <f t="shared" si="153"/>
        <v>0</v>
      </c>
      <c r="O411" s="70"/>
    </row>
    <row r="412" spans="1:15" ht="25.5">
      <c r="A412" s="63"/>
      <c r="B412" s="82"/>
      <c r="C412" s="59" t="s">
        <v>28</v>
      </c>
      <c r="D412" s="1"/>
      <c r="E412" s="2" t="s">
        <v>29</v>
      </c>
      <c r="F412" s="61">
        <f>F413</f>
        <v>153.7</v>
      </c>
      <c r="G412" s="451">
        <f t="shared" si="153"/>
        <v>153.7</v>
      </c>
      <c r="H412" s="141">
        <f t="shared" si="153"/>
        <v>0</v>
      </c>
      <c r="I412" s="461">
        <f t="shared" si="153"/>
        <v>0</v>
      </c>
      <c r="J412" s="89">
        <f t="shared" si="153"/>
        <v>0</v>
      </c>
      <c r="K412" s="93">
        <f t="shared" si="153"/>
        <v>0</v>
      </c>
      <c r="L412" s="471">
        <f t="shared" si="153"/>
        <v>0</v>
      </c>
      <c r="M412" s="481">
        <f t="shared" si="153"/>
        <v>0</v>
      </c>
      <c r="N412" s="491">
        <f t="shared" si="153"/>
        <v>0</v>
      </c>
      <c r="O412" s="70"/>
    </row>
    <row r="413" spans="1:15" ht="12.75">
      <c r="A413" s="63"/>
      <c r="B413" s="82"/>
      <c r="C413" s="59" t="s">
        <v>30</v>
      </c>
      <c r="D413" s="1"/>
      <c r="E413" s="2" t="s">
        <v>31</v>
      </c>
      <c r="F413" s="61">
        <f>F414</f>
        <v>153.7</v>
      </c>
      <c r="G413" s="451">
        <f t="shared" si="153"/>
        <v>153.7</v>
      </c>
      <c r="H413" s="141">
        <f t="shared" si="153"/>
        <v>0</v>
      </c>
      <c r="I413" s="461">
        <f t="shared" si="153"/>
        <v>0</v>
      </c>
      <c r="J413" s="89">
        <f t="shared" si="153"/>
        <v>0</v>
      </c>
      <c r="K413" s="93">
        <f t="shared" si="153"/>
        <v>0</v>
      </c>
      <c r="L413" s="471">
        <f t="shared" si="153"/>
        <v>0</v>
      </c>
      <c r="M413" s="481">
        <f t="shared" si="153"/>
        <v>0</v>
      </c>
      <c r="N413" s="491">
        <f t="shared" si="153"/>
        <v>0</v>
      </c>
      <c r="O413" s="70"/>
    </row>
    <row r="414" spans="1:15" ht="12.75">
      <c r="A414" s="63"/>
      <c r="B414" s="82"/>
      <c r="C414" s="59" t="s">
        <v>32</v>
      </c>
      <c r="D414" s="1"/>
      <c r="E414" s="2" t="s">
        <v>33</v>
      </c>
      <c r="F414" s="61">
        <f>F415</f>
        <v>153.7</v>
      </c>
      <c r="G414" s="451">
        <f t="shared" si="153"/>
        <v>153.7</v>
      </c>
      <c r="H414" s="141">
        <f t="shared" si="153"/>
        <v>0</v>
      </c>
      <c r="I414" s="461">
        <f t="shared" si="153"/>
        <v>0</v>
      </c>
      <c r="J414" s="89">
        <f t="shared" si="153"/>
        <v>0</v>
      </c>
      <c r="K414" s="93">
        <f t="shared" si="153"/>
        <v>0</v>
      </c>
      <c r="L414" s="471">
        <f t="shared" si="153"/>
        <v>0</v>
      </c>
      <c r="M414" s="481">
        <f t="shared" si="153"/>
        <v>0</v>
      </c>
      <c r="N414" s="491">
        <f t="shared" si="153"/>
        <v>0</v>
      </c>
      <c r="O414" s="70"/>
    </row>
    <row r="415" spans="1:15" ht="38.25">
      <c r="A415" s="63"/>
      <c r="B415" s="82"/>
      <c r="C415" s="59"/>
      <c r="D415" s="1" t="s">
        <v>227</v>
      </c>
      <c r="E415" s="16" t="s">
        <v>331</v>
      </c>
      <c r="F415" s="61">
        <f>F416</f>
        <v>153.7</v>
      </c>
      <c r="G415" s="451">
        <f t="shared" si="153"/>
        <v>153.7</v>
      </c>
      <c r="H415" s="141">
        <f t="shared" si="153"/>
        <v>0</v>
      </c>
      <c r="I415" s="461">
        <f t="shared" si="153"/>
        <v>0</v>
      </c>
      <c r="J415" s="89">
        <f t="shared" si="153"/>
        <v>0</v>
      </c>
      <c r="K415" s="93">
        <f t="shared" si="153"/>
        <v>0</v>
      </c>
      <c r="L415" s="471">
        <f t="shared" si="153"/>
        <v>0</v>
      </c>
      <c r="M415" s="481">
        <f t="shared" si="153"/>
        <v>0</v>
      </c>
      <c r="N415" s="491">
        <f t="shared" si="153"/>
        <v>0</v>
      </c>
      <c r="O415" s="70"/>
    </row>
    <row r="416" spans="1:15" ht="12.75">
      <c r="A416" s="63"/>
      <c r="B416" s="82"/>
      <c r="C416" s="59"/>
      <c r="D416" s="1" t="s">
        <v>121</v>
      </c>
      <c r="E416" s="16" t="s">
        <v>229</v>
      </c>
      <c r="F416" s="61">
        <f>G416+H416+I416+J416+K416+L416+M416+N416</f>
        <v>153.7</v>
      </c>
      <c r="G416" s="452">
        <v>153.7</v>
      </c>
      <c r="H416" s="142"/>
      <c r="I416" s="462"/>
      <c r="J416" s="90"/>
      <c r="K416" s="94"/>
      <c r="L416" s="474"/>
      <c r="M416" s="482"/>
      <c r="N416" s="494"/>
      <c r="O416" s="70"/>
    </row>
    <row r="417" spans="1:14" ht="12.75">
      <c r="A417" s="63"/>
      <c r="B417" s="1" t="s">
        <v>80</v>
      </c>
      <c r="C417" s="59"/>
      <c r="D417" s="1"/>
      <c r="E417" s="16" t="s">
        <v>81</v>
      </c>
      <c r="F417" s="61">
        <f>F418+F426</f>
        <v>2687.7569999999996</v>
      </c>
      <c r="G417" s="451">
        <f aca="true" t="shared" si="154" ref="G417:N417">G418+G426</f>
        <v>316.314</v>
      </c>
      <c r="H417" s="141">
        <f t="shared" si="154"/>
        <v>0</v>
      </c>
      <c r="I417" s="461">
        <f t="shared" si="154"/>
        <v>0</v>
      </c>
      <c r="J417" s="89">
        <f t="shared" si="154"/>
        <v>287.997</v>
      </c>
      <c r="K417" s="93">
        <f t="shared" si="154"/>
        <v>0</v>
      </c>
      <c r="L417" s="471">
        <f t="shared" si="154"/>
        <v>0</v>
      </c>
      <c r="M417" s="481">
        <f t="shared" si="154"/>
        <v>2083.446</v>
      </c>
      <c r="N417" s="491">
        <f t="shared" si="154"/>
        <v>0</v>
      </c>
    </row>
    <row r="418" spans="1:14" ht="12.75">
      <c r="A418" s="63"/>
      <c r="B418" s="63"/>
      <c r="C418" s="1" t="s">
        <v>82</v>
      </c>
      <c r="D418" s="1"/>
      <c r="E418" s="16" t="s">
        <v>83</v>
      </c>
      <c r="F418" s="61">
        <f>F419+F423</f>
        <v>2604.2729999999997</v>
      </c>
      <c r="G418" s="451">
        <f aca="true" t="shared" si="155" ref="G418:N418">G419+G423</f>
        <v>316.314</v>
      </c>
      <c r="H418" s="141">
        <f t="shared" si="155"/>
        <v>0</v>
      </c>
      <c r="I418" s="461">
        <f t="shared" si="155"/>
        <v>0</v>
      </c>
      <c r="J418" s="89">
        <f t="shared" si="155"/>
        <v>267.543</v>
      </c>
      <c r="K418" s="93">
        <f t="shared" si="155"/>
        <v>0</v>
      </c>
      <c r="L418" s="471">
        <f t="shared" si="155"/>
        <v>0</v>
      </c>
      <c r="M418" s="481">
        <f t="shared" si="155"/>
        <v>2020.416</v>
      </c>
      <c r="N418" s="491">
        <f t="shared" si="155"/>
        <v>0</v>
      </c>
    </row>
    <row r="419" spans="1:14" ht="12.75">
      <c r="A419" s="63"/>
      <c r="B419" s="63"/>
      <c r="C419" s="59" t="s">
        <v>84</v>
      </c>
      <c r="D419" s="1"/>
      <c r="E419" s="16" t="s">
        <v>85</v>
      </c>
      <c r="F419" s="61">
        <f>F420</f>
        <v>316.314</v>
      </c>
      <c r="G419" s="451">
        <f aca="true" t="shared" si="156" ref="G419:N421">G420</f>
        <v>316.314</v>
      </c>
      <c r="H419" s="141">
        <f t="shared" si="156"/>
        <v>0</v>
      </c>
      <c r="I419" s="461">
        <f t="shared" si="156"/>
        <v>0</v>
      </c>
      <c r="J419" s="89">
        <f t="shared" si="156"/>
        <v>0</v>
      </c>
      <c r="K419" s="93">
        <f t="shared" si="156"/>
        <v>0</v>
      </c>
      <c r="L419" s="471">
        <f t="shared" si="156"/>
        <v>0</v>
      </c>
      <c r="M419" s="481">
        <f t="shared" si="156"/>
        <v>0</v>
      </c>
      <c r="N419" s="491">
        <f t="shared" si="156"/>
        <v>0</v>
      </c>
    </row>
    <row r="420" spans="1:14" ht="25.5">
      <c r="A420" s="63"/>
      <c r="B420" s="63"/>
      <c r="C420" s="59" t="s">
        <v>375</v>
      </c>
      <c r="D420" s="1"/>
      <c r="E420" s="16" t="s">
        <v>122</v>
      </c>
      <c r="F420" s="61">
        <f>F421</f>
        <v>316.314</v>
      </c>
      <c r="G420" s="451">
        <f t="shared" si="156"/>
        <v>316.314</v>
      </c>
      <c r="H420" s="141">
        <f t="shared" si="156"/>
        <v>0</v>
      </c>
      <c r="I420" s="461">
        <f t="shared" si="156"/>
        <v>0</v>
      </c>
      <c r="J420" s="89">
        <f t="shared" si="156"/>
        <v>0</v>
      </c>
      <c r="K420" s="93">
        <f t="shared" si="156"/>
        <v>0</v>
      </c>
      <c r="L420" s="471">
        <f t="shared" si="156"/>
        <v>0</v>
      </c>
      <c r="M420" s="481">
        <f t="shared" si="156"/>
        <v>0</v>
      </c>
      <c r="N420" s="491">
        <f t="shared" si="156"/>
        <v>0</v>
      </c>
    </row>
    <row r="421" spans="1:14" ht="12.75">
      <c r="A421" s="63"/>
      <c r="B421" s="63"/>
      <c r="C421" s="59"/>
      <c r="D421" s="1" t="s">
        <v>230</v>
      </c>
      <c r="E421" s="16" t="s">
        <v>231</v>
      </c>
      <c r="F421" s="61">
        <f>F422</f>
        <v>316.314</v>
      </c>
      <c r="G421" s="451">
        <f t="shared" si="156"/>
        <v>316.314</v>
      </c>
      <c r="H421" s="141">
        <f t="shared" si="156"/>
        <v>0</v>
      </c>
      <c r="I421" s="461">
        <f t="shared" si="156"/>
        <v>0</v>
      </c>
      <c r="J421" s="89">
        <f t="shared" si="156"/>
        <v>0</v>
      </c>
      <c r="K421" s="93">
        <f t="shared" si="156"/>
        <v>0</v>
      </c>
      <c r="L421" s="471">
        <f t="shared" si="156"/>
        <v>0</v>
      </c>
      <c r="M421" s="481">
        <f t="shared" si="156"/>
        <v>0</v>
      </c>
      <c r="N421" s="491">
        <f t="shared" si="156"/>
        <v>0</v>
      </c>
    </row>
    <row r="422" spans="1:14" ht="12.75">
      <c r="A422" s="63"/>
      <c r="B422" s="63"/>
      <c r="C422" s="59"/>
      <c r="D422" s="1" t="s">
        <v>234</v>
      </c>
      <c r="E422" s="16" t="s">
        <v>235</v>
      </c>
      <c r="F422" s="61">
        <f aca="true" t="shared" si="157" ref="F422:F429">G422+H422+I422+J422+K422+L422+M422+N422</f>
        <v>316.314</v>
      </c>
      <c r="G422" s="452">
        <v>316.314</v>
      </c>
      <c r="H422" s="142"/>
      <c r="I422" s="462"/>
      <c r="J422" s="90"/>
      <c r="K422" s="94"/>
      <c r="L422" s="474"/>
      <c r="M422" s="482"/>
      <c r="N422" s="494"/>
    </row>
    <row r="423" spans="1:14" ht="25.5">
      <c r="A423" s="63"/>
      <c r="B423" s="63"/>
      <c r="C423" s="59" t="s">
        <v>303</v>
      </c>
      <c r="D423" s="1"/>
      <c r="E423" s="16" t="s">
        <v>140</v>
      </c>
      <c r="F423" s="61">
        <f t="shared" si="157"/>
        <v>2287.959</v>
      </c>
      <c r="G423" s="452">
        <f>G424</f>
        <v>0</v>
      </c>
      <c r="H423" s="142">
        <f aca="true" t="shared" si="158" ref="H423:N424">H424</f>
        <v>0</v>
      </c>
      <c r="I423" s="462">
        <f t="shared" si="158"/>
        <v>0</v>
      </c>
      <c r="J423" s="90">
        <f t="shared" si="158"/>
        <v>267.543</v>
      </c>
      <c r="K423" s="94">
        <f t="shared" si="158"/>
        <v>0</v>
      </c>
      <c r="L423" s="474">
        <f t="shared" si="158"/>
        <v>0</v>
      </c>
      <c r="M423" s="482">
        <f t="shared" si="158"/>
        <v>2020.416</v>
      </c>
      <c r="N423" s="494">
        <f t="shared" si="158"/>
        <v>0</v>
      </c>
    </row>
    <row r="424" spans="1:14" ht="12.75">
      <c r="A424" s="63"/>
      <c r="B424" s="63"/>
      <c r="C424" s="59"/>
      <c r="D424" s="1" t="s">
        <v>71</v>
      </c>
      <c r="E424" s="16" t="s">
        <v>38</v>
      </c>
      <c r="F424" s="61">
        <f t="shared" si="157"/>
        <v>2287.959</v>
      </c>
      <c r="G424" s="452">
        <f>G425</f>
        <v>0</v>
      </c>
      <c r="H424" s="142">
        <f t="shared" si="158"/>
        <v>0</v>
      </c>
      <c r="I424" s="462">
        <f t="shared" si="158"/>
        <v>0</v>
      </c>
      <c r="J424" s="90">
        <f t="shared" si="158"/>
        <v>267.543</v>
      </c>
      <c r="K424" s="94">
        <f t="shared" si="158"/>
        <v>0</v>
      </c>
      <c r="L424" s="474">
        <f t="shared" si="158"/>
        <v>0</v>
      </c>
      <c r="M424" s="482">
        <f t="shared" si="158"/>
        <v>2020.416</v>
      </c>
      <c r="N424" s="494">
        <f t="shared" si="158"/>
        <v>0</v>
      </c>
    </row>
    <row r="425" spans="1:14" ht="12.75">
      <c r="A425" s="63"/>
      <c r="B425" s="63"/>
      <c r="C425" s="59"/>
      <c r="D425" s="1" t="s">
        <v>120</v>
      </c>
      <c r="E425" s="16" t="s">
        <v>100</v>
      </c>
      <c r="F425" s="61">
        <f t="shared" si="157"/>
        <v>2287.959</v>
      </c>
      <c r="G425" s="452"/>
      <c r="H425" s="142"/>
      <c r="I425" s="462"/>
      <c r="J425" s="90">
        <v>267.543</v>
      </c>
      <c r="K425" s="94"/>
      <c r="L425" s="474"/>
      <c r="M425" s="482">
        <v>2020.416</v>
      </c>
      <c r="N425" s="494"/>
    </row>
    <row r="426" spans="1:14" ht="12.75">
      <c r="A426" s="63"/>
      <c r="B426" s="63"/>
      <c r="C426" s="59" t="s">
        <v>304</v>
      </c>
      <c r="D426" s="1"/>
      <c r="E426" s="16" t="s">
        <v>77</v>
      </c>
      <c r="F426" s="61">
        <f t="shared" si="157"/>
        <v>83.48400000000001</v>
      </c>
      <c r="G426" s="452">
        <f>G427</f>
        <v>0</v>
      </c>
      <c r="H426" s="142">
        <f aca="true" t="shared" si="159" ref="H426:N428">H427</f>
        <v>0</v>
      </c>
      <c r="I426" s="462">
        <f t="shared" si="159"/>
        <v>0</v>
      </c>
      <c r="J426" s="90">
        <f t="shared" si="159"/>
        <v>20.454</v>
      </c>
      <c r="K426" s="94">
        <f t="shared" si="159"/>
        <v>0</v>
      </c>
      <c r="L426" s="474">
        <f t="shared" si="159"/>
        <v>0</v>
      </c>
      <c r="M426" s="482">
        <f t="shared" si="159"/>
        <v>63.03</v>
      </c>
      <c r="N426" s="494">
        <f t="shared" si="159"/>
        <v>0</v>
      </c>
    </row>
    <row r="427" spans="1:14" ht="25.5">
      <c r="A427" s="63"/>
      <c r="B427" s="63"/>
      <c r="C427" s="59" t="s">
        <v>305</v>
      </c>
      <c r="D427" s="1"/>
      <c r="E427" s="16" t="s">
        <v>168</v>
      </c>
      <c r="F427" s="61">
        <f t="shared" si="157"/>
        <v>83.48400000000001</v>
      </c>
      <c r="G427" s="452">
        <f>G428</f>
        <v>0</v>
      </c>
      <c r="H427" s="142">
        <f t="shared" si="159"/>
        <v>0</v>
      </c>
      <c r="I427" s="462">
        <f t="shared" si="159"/>
        <v>0</v>
      </c>
      <c r="J427" s="90">
        <f t="shared" si="159"/>
        <v>20.454</v>
      </c>
      <c r="K427" s="94">
        <f t="shared" si="159"/>
        <v>0</v>
      </c>
      <c r="L427" s="474">
        <f t="shared" si="159"/>
        <v>0</v>
      </c>
      <c r="M427" s="482">
        <f t="shared" si="159"/>
        <v>63.03</v>
      </c>
      <c r="N427" s="494">
        <f t="shared" si="159"/>
        <v>0</v>
      </c>
    </row>
    <row r="428" spans="1:14" ht="12.75">
      <c r="A428" s="63"/>
      <c r="B428" s="63"/>
      <c r="C428" s="59"/>
      <c r="D428" s="1" t="s">
        <v>71</v>
      </c>
      <c r="E428" s="16" t="s">
        <v>38</v>
      </c>
      <c r="F428" s="61">
        <f t="shared" si="157"/>
        <v>83.48400000000001</v>
      </c>
      <c r="G428" s="452">
        <f>G429</f>
        <v>0</v>
      </c>
      <c r="H428" s="142">
        <f t="shared" si="159"/>
        <v>0</v>
      </c>
      <c r="I428" s="462">
        <f t="shared" si="159"/>
        <v>0</v>
      </c>
      <c r="J428" s="90">
        <f t="shared" si="159"/>
        <v>20.454</v>
      </c>
      <c r="K428" s="94">
        <f t="shared" si="159"/>
        <v>0</v>
      </c>
      <c r="L428" s="474">
        <f t="shared" si="159"/>
        <v>0</v>
      </c>
      <c r="M428" s="482">
        <f t="shared" si="159"/>
        <v>63.03</v>
      </c>
      <c r="N428" s="494">
        <f t="shared" si="159"/>
        <v>0</v>
      </c>
    </row>
    <row r="429" spans="1:14" ht="12.75">
      <c r="A429" s="63"/>
      <c r="B429" s="63"/>
      <c r="C429" s="59"/>
      <c r="D429" s="1" t="s">
        <v>120</v>
      </c>
      <c r="E429" s="16" t="s">
        <v>100</v>
      </c>
      <c r="F429" s="61">
        <f t="shared" si="157"/>
        <v>83.48400000000001</v>
      </c>
      <c r="G429" s="452"/>
      <c r="H429" s="142"/>
      <c r="I429" s="462"/>
      <c r="J429" s="90">
        <v>20.454</v>
      </c>
      <c r="K429" s="94"/>
      <c r="L429" s="474"/>
      <c r="M429" s="482">
        <v>63.03</v>
      </c>
      <c r="N429" s="494"/>
    </row>
    <row r="430" spans="1:14" ht="12.75">
      <c r="A430" s="63"/>
      <c r="B430" s="83" t="s">
        <v>34</v>
      </c>
      <c r="C430" s="59"/>
      <c r="D430" s="1"/>
      <c r="E430" s="16" t="s">
        <v>35</v>
      </c>
      <c r="F430" s="61">
        <f aca="true" t="shared" si="160" ref="F430:N435">F431</f>
        <v>144</v>
      </c>
      <c r="G430" s="451">
        <f t="shared" si="160"/>
        <v>0</v>
      </c>
      <c r="H430" s="141">
        <f t="shared" si="160"/>
        <v>144</v>
      </c>
      <c r="I430" s="461">
        <f t="shared" si="160"/>
        <v>0</v>
      </c>
      <c r="J430" s="89">
        <f t="shared" si="160"/>
        <v>0</v>
      </c>
      <c r="K430" s="93">
        <f t="shared" si="160"/>
        <v>0</v>
      </c>
      <c r="L430" s="471">
        <f t="shared" si="160"/>
        <v>0</v>
      </c>
      <c r="M430" s="481">
        <f t="shared" si="160"/>
        <v>0</v>
      </c>
      <c r="N430" s="491">
        <f t="shared" si="160"/>
        <v>0</v>
      </c>
    </row>
    <row r="431" spans="1:14" ht="12.75">
      <c r="A431" s="63"/>
      <c r="B431" s="83" t="s">
        <v>4</v>
      </c>
      <c r="C431" s="59"/>
      <c r="D431" s="1"/>
      <c r="E431" s="16" t="s">
        <v>36</v>
      </c>
      <c r="F431" s="61">
        <f t="shared" si="160"/>
        <v>144</v>
      </c>
      <c r="G431" s="451">
        <f t="shared" si="160"/>
        <v>0</v>
      </c>
      <c r="H431" s="141">
        <f t="shared" si="160"/>
        <v>144</v>
      </c>
      <c r="I431" s="461">
        <f t="shared" si="160"/>
        <v>0</v>
      </c>
      <c r="J431" s="89">
        <f t="shared" si="160"/>
        <v>0</v>
      </c>
      <c r="K431" s="93">
        <f t="shared" si="160"/>
        <v>0</v>
      </c>
      <c r="L431" s="471">
        <f t="shared" si="160"/>
        <v>0</v>
      </c>
      <c r="M431" s="481">
        <f t="shared" si="160"/>
        <v>0</v>
      </c>
      <c r="N431" s="491">
        <f t="shared" si="160"/>
        <v>0</v>
      </c>
    </row>
    <row r="432" spans="1:14" ht="12.75">
      <c r="A432" s="63"/>
      <c r="B432" s="63"/>
      <c r="C432" s="59" t="s">
        <v>54</v>
      </c>
      <c r="D432" s="1"/>
      <c r="E432" s="16" t="s">
        <v>55</v>
      </c>
      <c r="F432" s="61">
        <f t="shared" si="160"/>
        <v>144</v>
      </c>
      <c r="G432" s="451">
        <f t="shared" si="160"/>
        <v>0</v>
      </c>
      <c r="H432" s="141">
        <f t="shared" si="160"/>
        <v>144</v>
      </c>
      <c r="I432" s="461">
        <f t="shared" si="160"/>
        <v>0</v>
      </c>
      <c r="J432" s="89">
        <f t="shared" si="160"/>
        <v>0</v>
      </c>
      <c r="K432" s="93">
        <f t="shared" si="160"/>
        <v>0</v>
      </c>
      <c r="L432" s="471">
        <f t="shared" si="160"/>
        <v>0</v>
      </c>
      <c r="M432" s="481">
        <f t="shared" si="160"/>
        <v>0</v>
      </c>
      <c r="N432" s="491">
        <f t="shared" si="160"/>
        <v>0</v>
      </c>
    </row>
    <row r="433" spans="1:14" ht="12.75">
      <c r="A433" s="63"/>
      <c r="B433" s="63"/>
      <c r="C433" s="59" t="s">
        <v>56</v>
      </c>
      <c r="D433" s="1"/>
      <c r="E433" s="16" t="s">
        <v>57</v>
      </c>
      <c r="F433" s="61">
        <f t="shared" si="160"/>
        <v>144</v>
      </c>
      <c r="G433" s="451">
        <f t="shared" si="160"/>
        <v>0</v>
      </c>
      <c r="H433" s="141">
        <f t="shared" si="160"/>
        <v>144</v>
      </c>
      <c r="I433" s="461">
        <f t="shared" si="160"/>
        <v>0</v>
      </c>
      <c r="J433" s="89">
        <f t="shared" si="160"/>
        <v>0</v>
      </c>
      <c r="K433" s="93">
        <f t="shared" si="160"/>
        <v>0</v>
      </c>
      <c r="L433" s="471">
        <f t="shared" si="160"/>
        <v>0</v>
      </c>
      <c r="M433" s="481">
        <f t="shared" si="160"/>
        <v>0</v>
      </c>
      <c r="N433" s="491">
        <f t="shared" si="160"/>
        <v>0</v>
      </c>
    </row>
    <row r="434" spans="1:14" ht="25.5">
      <c r="A434" s="63"/>
      <c r="B434" s="63"/>
      <c r="C434" s="59" t="s">
        <v>1046</v>
      </c>
      <c r="D434" s="1"/>
      <c r="E434" s="16" t="s">
        <v>1047</v>
      </c>
      <c r="F434" s="61">
        <f t="shared" si="160"/>
        <v>144</v>
      </c>
      <c r="G434" s="451">
        <f t="shared" si="160"/>
        <v>0</v>
      </c>
      <c r="H434" s="141">
        <f t="shared" si="160"/>
        <v>144</v>
      </c>
      <c r="I434" s="461">
        <f t="shared" si="160"/>
        <v>0</v>
      </c>
      <c r="J434" s="89">
        <f t="shared" si="160"/>
        <v>0</v>
      </c>
      <c r="K434" s="93">
        <f t="shared" si="160"/>
        <v>0</v>
      </c>
      <c r="L434" s="471">
        <f t="shared" si="160"/>
        <v>0</v>
      </c>
      <c r="M434" s="481">
        <f t="shared" si="160"/>
        <v>0</v>
      </c>
      <c r="N434" s="491">
        <f t="shared" si="160"/>
        <v>0</v>
      </c>
    </row>
    <row r="435" spans="1:14" ht="25.5">
      <c r="A435" s="63"/>
      <c r="B435" s="63"/>
      <c r="C435" s="59"/>
      <c r="D435" s="1" t="s">
        <v>232</v>
      </c>
      <c r="E435" s="16" t="s">
        <v>403</v>
      </c>
      <c r="F435" s="61">
        <f t="shared" si="160"/>
        <v>144</v>
      </c>
      <c r="G435" s="451">
        <f t="shared" si="160"/>
        <v>0</v>
      </c>
      <c r="H435" s="141">
        <f t="shared" si="160"/>
        <v>144</v>
      </c>
      <c r="I435" s="461">
        <f t="shared" si="160"/>
        <v>0</v>
      </c>
      <c r="J435" s="89">
        <f t="shared" si="160"/>
        <v>0</v>
      </c>
      <c r="K435" s="93">
        <f t="shared" si="160"/>
        <v>0</v>
      </c>
      <c r="L435" s="471">
        <f t="shared" si="160"/>
        <v>0</v>
      </c>
      <c r="M435" s="481">
        <f t="shared" si="160"/>
        <v>0</v>
      </c>
      <c r="N435" s="491">
        <f t="shared" si="160"/>
        <v>0</v>
      </c>
    </row>
    <row r="436" spans="1:14" ht="27" customHeight="1">
      <c r="A436" s="63"/>
      <c r="B436" s="63"/>
      <c r="C436" s="59"/>
      <c r="D436" s="1" t="s">
        <v>191</v>
      </c>
      <c r="E436" s="16" t="s">
        <v>367</v>
      </c>
      <c r="F436" s="61">
        <f>G436+H436+I436+J436+K436+L436+M436+N436</f>
        <v>144</v>
      </c>
      <c r="G436" s="452"/>
      <c r="H436" s="142">
        <v>144</v>
      </c>
      <c r="I436" s="462"/>
      <c r="J436" s="90"/>
      <c r="K436" s="94"/>
      <c r="L436" s="474"/>
      <c r="M436" s="482"/>
      <c r="N436" s="494"/>
    </row>
    <row r="437" spans="1:14" ht="12.75">
      <c r="A437" s="63"/>
      <c r="B437" s="1" t="s">
        <v>63</v>
      </c>
      <c r="C437" s="1"/>
      <c r="D437" s="1"/>
      <c r="E437" s="5" t="s">
        <v>64</v>
      </c>
      <c r="F437" s="61">
        <f>G437+H437+I437+J437+K437+L437+M437+N437</f>
        <v>10383.738000000001</v>
      </c>
      <c r="G437" s="452">
        <f>G438</f>
        <v>0</v>
      </c>
      <c r="H437" s="142">
        <f aca="true" t="shared" si="161" ref="H437:N437">H438</f>
        <v>0</v>
      </c>
      <c r="I437" s="462">
        <f t="shared" si="161"/>
        <v>0</v>
      </c>
      <c r="J437" s="90">
        <f t="shared" si="161"/>
        <v>837</v>
      </c>
      <c r="K437" s="94">
        <f t="shared" si="161"/>
        <v>1024.38</v>
      </c>
      <c r="L437" s="474">
        <f t="shared" si="161"/>
        <v>0</v>
      </c>
      <c r="M437" s="482">
        <f t="shared" si="161"/>
        <v>8522.358</v>
      </c>
      <c r="N437" s="494">
        <f t="shared" si="161"/>
        <v>0</v>
      </c>
    </row>
    <row r="438" spans="1:14" ht="12.75">
      <c r="A438" s="63"/>
      <c r="B438" s="1" t="s">
        <v>16</v>
      </c>
      <c r="C438" s="1"/>
      <c r="D438" s="1"/>
      <c r="E438" s="5" t="s">
        <v>65</v>
      </c>
      <c r="F438" s="61">
        <f>G438+H438+I438+J438+K438+L438+M438+N438</f>
        <v>10383.738000000001</v>
      </c>
      <c r="G438" s="452">
        <f>G439+G444+G460+G456</f>
        <v>0</v>
      </c>
      <c r="H438" s="142">
        <f aca="true" t="shared" si="162" ref="H438:N438">H439+H444+H460+H456</f>
        <v>0</v>
      </c>
      <c r="I438" s="462">
        <f t="shared" si="162"/>
        <v>0</v>
      </c>
      <c r="J438" s="90">
        <f t="shared" si="162"/>
        <v>837</v>
      </c>
      <c r="K438" s="94">
        <f t="shared" si="162"/>
        <v>1024.38</v>
      </c>
      <c r="L438" s="474">
        <f t="shared" si="162"/>
        <v>0</v>
      </c>
      <c r="M438" s="482">
        <f>M439+M444+M460+M456</f>
        <v>8522.358</v>
      </c>
      <c r="N438" s="494">
        <f t="shared" si="162"/>
        <v>0</v>
      </c>
    </row>
    <row r="439" spans="1:14" ht="12.75">
      <c r="A439" s="63"/>
      <c r="B439" s="1"/>
      <c r="C439" s="1" t="s">
        <v>1048</v>
      </c>
      <c r="D439" s="1"/>
      <c r="E439" s="5" t="s">
        <v>1051</v>
      </c>
      <c r="F439" s="61">
        <f>F440</f>
        <v>948.45</v>
      </c>
      <c r="G439" s="451">
        <f aca="true" t="shared" si="163" ref="G439:N442">G440</f>
        <v>0</v>
      </c>
      <c r="H439" s="141">
        <f t="shared" si="163"/>
        <v>0</v>
      </c>
      <c r="I439" s="461">
        <f t="shared" si="163"/>
        <v>0</v>
      </c>
      <c r="J439" s="89">
        <f t="shared" si="163"/>
        <v>0</v>
      </c>
      <c r="K439" s="93">
        <f t="shared" si="163"/>
        <v>0</v>
      </c>
      <c r="L439" s="471">
        <f t="shared" si="163"/>
        <v>0</v>
      </c>
      <c r="M439" s="481">
        <f t="shared" si="163"/>
        <v>948.45</v>
      </c>
      <c r="N439" s="491">
        <f t="shared" si="163"/>
        <v>0</v>
      </c>
    </row>
    <row r="440" spans="1:14" ht="12.75">
      <c r="A440" s="63"/>
      <c r="B440" s="1"/>
      <c r="C440" s="1" t="s">
        <v>1049</v>
      </c>
      <c r="D440" s="1"/>
      <c r="E440" s="5" t="s">
        <v>1052</v>
      </c>
      <c r="F440" s="61">
        <f>F441</f>
        <v>948.45</v>
      </c>
      <c r="G440" s="451">
        <f t="shared" si="163"/>
        <v>0</v>
      </c>
      <c r="H440" s="141">
        <f t="shared" si="163"/>
        <v>0</v>
      </c>
      <c r="I440" s="461">
        <f t="shared" si="163"/>
        <v>0</v>
      </c>
      <c r="J440" s="89">
        <f t="shared" si="163"/>
        <v>0</v>
      </c>
      <c r="K440" s="93">
        <f t="shared" si="163"/>
        <v>0</v>
      </c>
      <c r="L440" s="471">
        <f t="shared" si="163"/>
        <v>0</v>
      </c>
      <c r="M440" s="481">
        <f t="shared" si="163"/>
        <v>948.45</v>
      </c>
      <c r="N440" s="491">
        <f t="shared" si="163"/>
        <v>0</v>
      </c>
    </row>
    <row r="441" spans="1:14" ht="25.5">
      <c r="A441" s="63"/>
      <c r="B441" s="1"/>
      <c r="C441" s="1" t="s">
        <v>1050</v>
      </c>
      <c r="D441" s="1"/>
      <c r="E441" s="5" t="s">
        <v>1053</v>
      </c>
      <c r="F441" s="61">
        <f>F442</f>
        <v>948.45</v>
      </c>
      <c r="G441" s="451">
        <f t="shared" si="163"/>
        <v>0</v>
      </c>
      <c r="H441" s="141">
        <f t="shared" si="163"/>
        <v>0</v>
      </c>
      <c r="I441" s="461">
        <f t="shared" si="163"/>
        <v>0</v>
      </c>
      <c r="J441" s="89">
        <f t="shared" si="163"/>
        <v>0</v>
      </c>
      <c r="K441" s="93">
        <f t="shared" si="163"/>
        <v>0</v>
      </c>
      <c r="L441" s="471">
        <f t="shared" si="163"/>
        <v>0</v>
      </c>
      <c r="M441" s="481">
        <f t="shared" si="163"/>
        <v>948.45</v>
      </c>
      <c r="N441" s="491">
        <f t="shared" si="163"/>
        <v>0</v>
      </c>
    </row>
    <row r="442" spans="1:14" ht="12.75">
      <c r="A442" s="63"/>
      <c r="B442" s="1"/>
      <c r="C442" s="1"/>
      <c r="D442" s="1" t="s">
        <v>225</v>
      </c>
      <c r="E442" s="16" t="s">
        <v>226</v>
      </c>
      <c r="F442" s="61">
        <f>F443</f>
        <v>948.45</v>
      </c>
      <c r="G442" s="451">
        <f t="shared" si="163"/>
        <v>0</v>
      </c>
      <c r="H442" s="141">
        <f t="shared" si="163"/>
        <v>0</v>
      </c>
      <c r="I442" s="461">
        <f t="shared" si="163"/>
        <v>0</v>
      </c>
      <c r="J442" s="89">
        <f t="shared" si="163"/>
        <v>0</v>
      </c>
      <c r="K442" s="93">
        <f t="shared" si="163"/>
        <v>0</v>
      </c>
      <c r="L442" s="471">
        <f t="shared" si="163"/>
        <v>0</v>
      </c>
      <c r="M442" s="481">
        <f t="shared" si="163"/>
        <v>948.45</v>
      </c>
      <c r="N442" s="491">
        <f t="shared" si="163"/>
        <v>0</v>
      </c>
    </row>
    <row r="443" spans="1:14" ht="26.25" customHeight="1">
      <c r="A443" s="63"/>
      <c r="B443" s="1"/>
      <c r="C443" s="1"/>
      <c r="D443" s="1" t="s">
        <v>128</v>
      </c>
      <c r="E443" s="16" t="s">
        <v>1211</v>
      </c>
      <c r="F443" s="61">
        <f aca="true" t="shared" si="164" ref="F443:F467">G443+H443+I443+J443+K443+L443+M443+N443</f>
        <v>948.45</v>
      </c>
      <c r="G443" s="452"/>
      <c r="H443" s="142"/>
      <c r="I443" s="462"/>
      <c r="J443" s="90"/>
      <c r="K443" s="94"/>
      <c r="L443" s="474"/>
      <c r="M443" s="482">
        <v>948.45</v>
      </c>
      <c r="N443" s="494"/>
    </row>
    <row r="444" spans="1:14" ht="12.75">
      <c r="A444" s="63"/>
      <c r="B444" s="63"/>
      <c r="C444" s="1" t="s">
        <v>66</v>
      </c>
      <c r="D444" s="1"/>
      <c r="E444" s="5" t="s">
        <v>67</v>
      </c>
      <c r="F444" s="61">
        <f t="shared" si="164"/>
        <v>3093.723</v>
      </c>
      <c r="G444" s="452">
        <f>G445+G452</f>
        <v>0</v>
      </c>
      <c r="H444" s="142">
        <f aca="true" t="shared" si="165" ref="H444:N444">H445+H452</f>
        <v>0</v>
      </c>
      <c r="I444" s="462">
        <f t="shared" si="165"/>
        <v>0</v>
      </c>
      <c r="J444" s="90">
        <f t="shared" si="165"/>
        <v>837</v>
      </c>
      <c r="K444" s="94">
        <f t="shared" si="165"/>
        <v>0</v>
      </c>
      <c r="L444" s="474">
        <f t="shared" si="165"/>
        <v>0</v>
      </c>
      <c r="M444" s="482">
        <f t="shared" si="165"/>
        <v>2256.723</v>
      </c>
      <c r="N444" s="494">
        <f t="shared" si="165"/>
        <v>0</v>
      </c>
    </row>
    <row r="445" spans="1:14" ht="97.5" customHeight="1">
      <c r="A445" s="63"/>
      <c r="B445" s="63"/>
      <c r="C445" s="1" t="s">
        <v>259</v>
      </c>
      <c r="D445" s="1"/>
      <c r="E445" s="5" t="s">
        <v>260</v>
      </c>
      <c r="F445" s="61">
        <f t="shared" si="164"/>
        <v>1947.6</v>
      </c>
      <c r="G445" s="452">
        <f>G446+G449</f>
        <v>0</v>
      </c>
      <c r="H445" s="142">
        <f aca="true" t="shared" si="166" ref="H445:N445">H446+H449</f>
        <v>0</v>
      </c>
      <c r="I445" s="462">
        <f t="shared" si="166"/>
        <v>0</v>
      </c>
      <c r="J445" s="90">
        <f t="shared" si="166"/>
        <v>837</v>
      </c>
      <c r="K445" s="94">
        <f t="shared" si="166"/>
        <v>0</v>
      </c>
      <c r="L445" s="474">
        <f t="shared" si="166"/>
        <v>0</v>
      </c>
      <c r="M445" s="482">
        <f t="shared" si="166"/>
        <v>1110.6</v>
      </c>
      <c r="N445" s="494">
        <f t="shared" si="166"/>
        <v>0</v>
      </c>
    </row>
    <row r="446" spans="1:14" ht="45.75" customHeight="1">
      <c r="A446" s="63"/>
      <c r="B446" s="63"/>
      <c r="C446" s="1" t="s">
        <v>261</v>
      </c>
      <c r="D446" s="18"/>
      <c r="E446" s="50" t="s">
        <v>169</v>
      </c>
      <c r="F446" s="61">
        <f t="shared" si="164"/>
        <v>1891.8</v>
      </c>
      <c r="G446" s="452">
        <f>G447</f>
        <v>0</v>
      </c>
      <c r="H446" s="142">
        <f aca="true" t="shared" si="167" ref="H446:N447">H447</f>
        <v>0</v>
      </c>
      <c r="I446" s="462">
        <f t="shared" si="167"/>
        <v>0</v>
      </c>
      <c r="J446" s="90">
        <f t="shared" si="167"/>
        <v>781.2</v>
      </c>
      <c r="K446" s="94">
        <f t="shared" si="167"/>
        <v>0</v>
      </c>
      <c r="L446" s="474">
        <f t="shared" si="167"/>
        <v>0</v>
      </c>
      <c r="M446" s="482">
        <f t="shared" si="167"/>
        <v>1110.6</v>
      </c>
      <c r="N446" s="494">
        <f t="shared" si="167"/>
        <v>0</v>
      </c>
    </row>
    <row r="447" spans="1:14" ht="12.75">
      <c r="A447" s="63"/>
      <c r="B447" s="63"/>
      <c r="C447" s="1"/>
      <c r="D447" s="1" t="s">
        <v>225</v>
      </c>
      <c r="E447" s="16" t="s">
        <v>226</v>
      </c>
      <c r="F447" s="61">
        <f t="shared" si="164"/>
        <v>1891.8</v>
      </c>
      <c r="G447" s="452">
        <f>G448</f>
        <v>0</v>
      </c>
      <c r="H447" s="142">
        <f t="shared" si="167"/>
        <v>0</v>
      </c>
      <c r="I447" s="462">
        <f t="shared" si="167"/>
        <v>0</v>
      </c>
      <c r="J447" s="90">
        <f t="shared" si="167"/>
        <v>781.2</v>
      </c>
      <c r="K447" s="94">
        <f t="shared" si="167"/>
        <v>0</v>
      </c>
      <c r="L447" s="474">
        <f t="shared" si="167"/>
        <v>0</v>
      </c>
      <c r="M447" s="482">
        <f t="shared" si="167"/>
        <v>1110.6</v>
      </c>
      <c r="N447" s="494">
        <f t="shared" si="167"/>
        <v>0</v>
      </c>
    </row>
    <row r="448" spans="1:14" ht="12.75" customHeight="1">
      <c r="A448" s="63"/>
      <c r="B448" s="63"/>
      <c r="C448" s="1"/>
      <c r="D448" s="1" t="s">
        <v>128</v>
      </c>
      <c r="E448" s="16" t="s">
        <v>1211</v>
      </c>
      <c r="F448" s="61">
        <f t="shared" si="164"/>
        <v>1891.8</v>
      </c>
      <c r="G448" s="452"/>
      <c r="H448" s="142"/>
      <c r="I448" s="462"/>
      <c r="J448" s="90">
        <v>781.2</v>
      </c>
      <c r="K448" s="94"/>
      <c r="L448" s="474"/>
      <c r="M448" s="482">
        <v>1110.6</v>
      </c>
      <c r="N448" s="494"/>
    </row>
    <row r="449" spans="1:14" ht="38.25">
      <c r="A449" s="63"/>
      <c r="B449" s="63"/>
      <c r="C449" s="1" t="s">
        <v>262</v>
      </c>
      <c r="D449" s="1"/>
      <c r="E449" s="5" t="s">
        <v>170</v>
      </c>
      <c r="F449" s="61">
        <f t="shared" si="164"/>
        <v>55.8</v>
      </c>
      <c r="G449" s="452">
        <f>G450</f>
        <v>0</v>
      </c>
      <c r="H449" s="142">
        <f aca="true" t="shared" si="168" ref="H449:N450">H450</f>
        <v>0</v>
      </c>
      <c r="I449" s="462">
        <f t="shared" si="168"/>
        <v>0</v>
      </c>
      <c r="J449" s="90">
        <f t="shared" si="168"/>
        <v>55.8</v>
      </c>
      <c r="K449" s="94">
        <f t="shared" si="168"/>
        <v>0</v>
      </c>
      <c r="L449" s="474">
        <f t="shared" si="168"/>
        <v>0</v>
      </c>
      <c r="M449" s="482">
        <f t="shared" si="168"/>
        <v>0</v>
      </c>
      <c r="N449" s="494">
        <f t="shared" si="168"/>
        <v>0</v>
      </c>
    </row>
    <row r="450" spans="1:14" ht="12.75">
      <c r="A450" s="63"/>
      <c r="B450" s="63"/>
      <c r="C450" s="1"/>
      <c r="D450" s="1" t="s">
        <v>225</v>
      </c>
      <c r="E450" s="16" t="s">
        <v>226</v>
      </c>
      <c r="F450" s="61">
        <f t="shared" si="164"/>
        <v>55.8</v>
      </c>
      <c r="G450" s="452">
        <f>G451</f>
        <v>0</v>
      </c>
      <c r="H450" s="142">
        <f t="shared" si="168"/>
        <v>0</v>
      </c>
      <c r="I450" s="462">
        <f t="shared" si="168"/>
        <v>0</v>
      </c>
      <c r="J450" s="90">
        <f t="shared" si="168"/>
        <v>55.8</v>
      </c>
      <c r="K450" s="94">
        <f t="shared" si="168"/>
        <v>0</v>
      </c>
      <c r="L450" s="474">
        <f t="shared" si="168"/>
        <v>0</v>
      </c>
      <c r="M450" s="482">
        <f t="shared" si="168"/>
        <v>0</v>
      </c>
      <c r="N450" s="494">
        <f t="shared" si="168"/>
        <v>0</v>
      </c>
    </row>
    <row r="451" spans="1:14" ht="12.75" customHeight="1">
      <c r="A451" s="63"/>
      <c r="B451" s="63"/>
      <c r="C451" s="1"/>
      <c r="D451" s="1" t="s">
        <v>128</v>
      </c>
      <c r="E451" s="16" t="s">
        <v>1211</v>
      </c>
      <c r="F451" s="61">
        <f t="shared" si="164"/>
        <v>55.8</v>
      </c>
      <c r="G451" s="452"/>
      <c r="H451" s="142"/>
      <c r="I451" s="462"/>
      <c r="J451" s="90">
        <v>55.8</v>
      </c>
      <c r="K451" s="94"/>
      <c r="L451" s="474"/>
      <c r="M451" s="482"/>
      <c r="N451" s="494"/>
    </row>
    <row r="452" spans="1:14" ht="39" customHeight="1">
      <c r="A452" s="63"/>
      <c r="B452" s="63"/>
      <c r="C452" s="1" t="s">
        <v>307</v>
      </c>
      <c r="D452" s="1"/>
      <c r="E452" s="16" t="s">
        <v>309</v>
      </c>
      <c r="F452" s="61">
        <f t="shared" si="164"/>
        <v>1146.123</v>
      </c>
      <c r="G452" s="452">
        <f>G453</f>
        <v>0</v>
      </c>
      <c r="H452" s="142">
        <f aca="true" t="shared" si="169" ref="H452:N454">H453</f>
        <v>0</v>
      </c>
      <c r="I452" s="462">
        <f t="shared" si="169"/>
        <v>0</v>
      </c>
      <c r="J452" s="90">
        <f t="shared" si="169"/>
        <v>0</v>
      </c>
      <c r="K452" s="94">
        <f t="shared" si="169"/>
        <v>0</v>
      </c>
      <c r="L452" s="474">
        <f t="shared" si="169"/>
        <v>0</v>
      </c>
      <c r="M452" s="482">
        <f t="shared" si="169"/>
        <v>1146.123</v>
      </c>
      <c r="N452" s="494">
        <f t="shared" si="169"/>
        <v>0</v>
      </c>
    </row>
    <row r="453" spans="1:14" ht="38.25">
      <c r="A453" s="63"/>
      <c r="B453" s="63"/>
      <c r="C453" s="1" t="s">
        <v>308</v>
      </c>
      <c r="D453" s="1"/>
      <c r="E453" s="16" t="s">
        <v>141</v>
      </c>
      <c r="F453" s="61">
        <f t="shared" si="164"/>
        <v>1146.123</v>
      </c>
      <c r="G453" s="452">
        <f>G454</f>
        <v>0</v>
      </c>
      <c r="H453" s="142">
        <f t="shared" si="169"/>
        <v>0</v>
      </c>
      <c r="I453" s="462">
        <f t="shared" si="169"/>
        <v>0</v>
      </c>
      <c r="J453" s="90">
        <f t="shared" si="169"/>
        <v>0</v>
      </c>
      <c r="K453" s="94">
        <f t="shared" si="169"/>
        <v>0</v>
      </c>
      <c r="L453" s="474">
        <f t="shared" si="169"/>
        <v>0</v>
      </c>
      <c r="M453" s="482">
        <f t="shared" si="169"/>
        <v>1146.123</v>
      </c>
      <c r="N453" s="494">
        <f t="shared" si="169"/>
        <v>0</v>
      </c>
    </row>
    <row r="454" spans="1:14" ht="12.75">
      <c r="A454" s="63"/>
      <c r="B454" s="63"/>
      <c r="C454" s="1"/>
      <c r="D454" s="1" t="s">
        <v>225</v>
      </c>
      <c r="E454" s="16" t="s">
        <v>226</v>
      </c>
      <c r="F454" s="61">
        <f t="shared" si="164"/>
        <v>1146.123</v>
      </c>
      <c r="G454" s="452">
        <f>G455</f>
        <v>0</v>
      </c>
      <c r="H454" s="142">
        <f t="shared" si="169"/>
        <v>0</v>
      </c>
      <c r="I454" s="462">
        <f t="shared" si="169"/>
        <v>0</v>
      </c>
      <c r="J454" s="90">
        <f t="shared" si="169"/>
        <v>0</v>
      </c>
      <c r="K454" s="94">
        <f t="shared" si="169"/>
        <v>0</v>
      </c>
      <c r="L454" s="474">
        <f t="shared" si="169"/>
        <v>0</v>
      </c>
      <c r="M454" s="482">
        <f t="shared" si="169"/>
        <v>1146.123</v>
      </c>
      <c r="N454" s="494">
        <f t="shared" si="169"/>
        <v>0</v>
      </c>
    </row>
    <row r="455" spans="1:14" ht="23.25" customHeight="1">
      <c r="A455" s="63"/>
      <c r="B455" s="63"/>
      <c r="C455" s="1"/>
      <c r="D455" s="1" t="s">
        <v>128</v>
      </c>
      <c r="E455" s="16" t="s">
        <v>1211</v>
      </c>
      <c r="F455" s="61">
        <f t="shared" si="164"/>
        <v>1146.123</v>
      </c>
      <c r="G455" s="452"/>
      <c r="H455" s="142"/>
      <c r="I455" s="462"/>
      <c r="J455" s="90"/>
      <c r="K455" s="94"/>
      <c r="L455" s="474"/>
      <c r="M455" s="482">
        <v>1146.123</v>
      </c>
      <c r="N455" s="494"/>
    </row>
    <row r="456" spans="1:14" ht="12.75">
      <c r="A456" s="63"/>
      <c r="B456" s="63"/>
      <c r="C456" s="1" t="s">
        <v>105</v>
      </c>
      <c r="D456" s="1"/>
      <c r="E456" s="16" t="s">
        <v>106</v>
      </c>
      <c r="F456" s="61">
        <f t="shared" si="164"/>
        <v>3070.1859999999997</v>
      </c>
      <c r="G456" s="452">
        <f>G457</f>
        <v>0</v>
      </c>
      <c r="H456" s="142">
        <f aca="true" t="shared" si="170" ref="H456:N458">H457</f>
        <v>0</v>
      </c>
      <c r="I456" s="462">
        <f t="shared" si="170"/>
        <v>0</v>
      </c>
      <c r="J456" s="90">
        <f t="shared" si="170"/>
        <v>0</v>
      </c>
      <c r="K456" s="94">
        <f t="shared" si="170"/>
        <v>0</v>
      </c>
      <c r="L456" s="474">
        <f t="shared" si="170"/>
        <v>0</v>
      </c>
      <c r="M456" s="482">
        <f t="shared" si="170"/>
        <v>3070.1859999999997</v>
      </c>
      <c r="N456" s="494">
        <f t="shared" si="170"/>
        <v>0</v>
      </c>
    </row>
    <row r="457" spans="1:14" ht="25.5">
      <c r="A457" s="63"/>
      <c r="B457" s="63"/>
      <c r="C457" s="1" t="s">
        <v>316</v>
      </c>
      <c r="D457" s="1"/>
      <c r="E457" s="16" t="s">
        <v>171</v>
      </c>
      <c r="F457" s="61">
        <f t="shared" si="164"/>
        <v>3070.1859999999997</v>
      </c>
      <c r="G457" s="452">
        <f>G458</f>
        <v>0</v>
      </c>
      <c r="H457" s="142">
        <f t="shared" si="170"/>
        <v>0</v>
      </c>
      <c r="I457" s="462">
        <f t="shared" si="170"/>
        <v>0</v>
      </c>
      <c r="J457" s="90">
        <f t="shared" si="170"/>
        <v>0</v>
      </c>
      <c r="K457" s="94">
        <f t="shared" si="170"/>
        <v>0</v>
      </c>
      <c r="L457" s="474">
        <f t="shared" si="170"/>
        <v>0</v>
      </c>
      <c r="M457" s="482">
        <f t="shared" si="170"/>
        <v>3070.1859999999997</v>
      </c>
      <c r="N457" s="494">
        <f t="shared" si="170"/>
        <v>0</v>
      </c>
    </row>
    <row r="458" spans="1:14" ht="12.75">
      <c r="A458" s="63"/>
      <c r="B458" s="63"/>
      <c r="C458" s="1"/>
      <c r="D458" s="1" t="s">
        <v>225</v>
      </c>
      <c r="E458" s="16" t="s">
        <v>226</v>
      </c>
      <c r="F458" s="61">
        <f t="shared" si="164"/>
        <v>3070.1859999999997</v>
      </c>
      <c r="G458" s="452">
        <f>G459</f>
        <v>0</v>
      </c>
      <c r="H458" s="142">
        <f t="shared" si="170"/>
        <v>0</v>
      </c>
      <c r="I458" s="462">
        <f t="shared" si="170"/>
        <v>0</v>
      </c>
      <c r="J458" s="90">
        <f t="shared" si="170"/>
        <v>0</v>
      </c>
      <c r="K458" s="94">
        <f t="shared" si="170"/>
        <v>0</v>
      </c>
      <c r="L458" s="474">
        <f t="shared" si="170"/>
        <v>0</v>
      </c>
      <c r="M458" s="482">
        <f t="shared" si="170"/>
        <v>3070.1859999999997</v>
      </c>
      <c r="N458" s="494">
        <f t="shared" si="170"/>
        <v>0</v>
      </c>
    </row>
    <row r="459" spans="1:14" ht="27.75" customHeight="1">
      <c r="A459" s="63"/>
      <c r="B459" s="63"/>
      <c r="C459" s="1"/>
      <c r="D459" s="1" t="s">
        <v>128</v>
      </c>
      <c r="E459" s="16" t="s">
        <v>1211</v>
      </c>
      <c r="F459" s="61">
        <f t="shared" si="164"/>
        <v>3070.1859999999997</v>
      </c>
      <c r="G459" s="452"/>
      <c r="H459" s="142"/>
      <c r="I459" s="462"/>
      <c r="J459" s="90"/>
      <c r="K459" s="94"/>
      <c r="L459" s="474"/>
      <c r="M459" s="482">
        <f>333.18+2737.006</f>
        <v>3070.1859999999997</v>
      </c>
      <c r="N459" s="494"/>
    </row>
    <row r="460" spans="1:14" ht="12.75">
      <c r="A460" s="63"/>
      <c r="B460" s="63"/>
      <c r="C460" s="1" t="s">
        <v>54</v>
      </c>
      <c r="D460" s="1"/>
      <c r="E460" s="16" t="s">
        <v>55</v>
      </c>
      <c r="F460" s="61">
        <f t="shared" si="164"/>
        <v>3271.379</v>
      </c>
      <c r="G460" s="452">
        <f>G461</f>
        <v>0</v>
      </c>
      <c r="H460" s="142">
        <f aca="true" t="shared" si="171" ref="H460:N463">H461</f>
        <v>0</v>
      </c>
      <c r="I460" s="462">
        <f t="shared" si="171"/>
        <v>0</v>
      </c>
      <c r="J460" s="90">
        <f t="shared" si="171"/>
        <v>0</v>
      </c>
      <c r="K460" s="94">
        <f t="shared" si="171"/>
        <v>1024.38</v>
      </c>
      <c r="L460" s="474">
        <f t="shared" si="171"/>
        <v>0</v>
      </c>
      <c r="M460" s="482">
        <f t="shared" si="171"/>
        <v>2246.999</v>
      </c>
      <c r="N460" s="494">
        <f t="shared" si="171"/>
        <v>0</v>
      </c>
    </row>
    <row r="461" spans="1:14" ht="12.75">
      <c r="A461" s="63"/>
      <c r="B461" s="63"/>
      <c r="C461" s="1" t="s">
        <v>56</v>
      </c>
      <c r="D461" s="1"/>
      <c r="E461" s="16" t="s">
        <v>57</v>
      </c>
      <c r="F461" s="61">
        <f t="shared" si="164"/>
        <v>3271.379</v>
      </c>
      <c r="G461" s="452">
        <f>G462+G465</f>
        <v>0</v>
      </c>
      <c r="H461" s="142">
        <f aca="true" t="shared" si="172" ref="H461:N461">H462+H465</f>
        <v>0</v>
      </c>
      <c r="I461" s="462">
        <f t="shared" si="172"/>
        <v>0</v>
      </c>
      <c r="J461" s="90">
        <f t="shared" si="172"/>
        <v>0</v>
      </c>
      <c r="K461" s="94">
        <f t="shared" si="172"/>
        <v>1024.38</v>
      </c>
      <c r="L461" s="474">
        <f t="shared" si="172"/>
        <v>0</v>
      </c>
      <c r="M461" s="482">
        <f t="shared" si="172"/>
        <v>2246.999</v>
      </c>
      <c r="N461" s="494">
        <f t="shared" si="172"/>
        <v>0</v>
      </c>
    </row>
    <row r="462" spans="1:14" ht="25.5">
      <c r="A462" s="63"/>
      <c r="B462" s="63"/>
      <c r="C462" s="1" t="s">
        <v>116</v>
      </c>
      <c r="D462" s="1"/>
      <c r="E462" s="16" t="s">
        <v>117</v>
      </c>
      <c r="F462" s="61">
        <f t="shared" si="164"/>
        <v>1173.419</v>
      </c>
      <c r="G462" s="452">
        <f>G463</f>
        <v>0</v>
      </c>
      <c r="H462" s="142">
        <f t="shared" si="171"/>
        <v>0</v>
      </c>
      <c r="I462" s="462">
        <f t="shared" si="171"/>
        <v>0</v>
      </c>
      <c r="J462" s="90">
        <f t="shared" si="171"/>
        <v>0</v>
      </c>
      <c r="K462" s="94">
        <f t="shared" si="171"/>
        <v>0</v>
      </c>
      <c r="L462" s="474">
        <f t="shared" si="171"/>
        <v>0</v>
      </c>
      <c r="M462" s="482">
        <f t="shared" si="171"/>
        <v>1173.419</v>
      </c>
      <c r="N462" s="494">
        <f t="shared" si="171"/>
        <v>0</v>
      </c>
    </row>
    <row r="463" spans="1:14" ht="12.75">
      <c r="A463" s="63"/>
      <c r="B463" s="63"/>
      <c r="C463" s="1"/>
      <c r="D463" s="1" t="s">
        <v>225</v>
      </c>
      <c r="E463" s="16" t="s">
        <v>226</v>
      </c>
      <c r="F463" s="61">
        <f t="shared" si="164"/>
        <v>1173.419</v>
      </c>
      <c r="G463" s="452">
        <f>G464</f>
        <v>0</v>
      </c>
      <c r="H463" s="142">
        <f t="shared" si="171"/>
        <v>0</v>
      </c>
      <c r="I463" s="462">
        <f t="shared" si="171"/>
        <v>0</v>
      </c>
      <c r="J463" s="90">
        <f t="shared" si="171"/>
        <v>0</v>
      </c>
      <c r="K463" s="94">
        <f t="shared" si="171"/>
        <v>0</v>
      </c>
      <c r="L463" s="474">
        <f t="shared" si="171"/>
        <v>0</v>
      </c>
      <c r="M463" s="482">
        <f t="shared" si="171"/>
        <v>1173.419</v>
      </c>
      <c r="N463" s="494">
        <f t="shared" si="171"/>
        <v>0</v>
      </c>
    </row>
    <row r="464" spans="1:14" ht="27" customHeight="1">
      <c r="A464" s="63"/>
      <c r="B464" s="63"/>
      <c r="C464" s="1"/>
      <c r="D464" s="1" t="s">
        <v>128</v>
      </c>
      <c r="E464" s="16" t="s">
        <v>1211</v>
      </c>
      <c r="F464" s="61">
        <f t="shared" si="164"/>
        <v>1173.419</v>
      </c>
      <c r="G464" s="452"/>
      <c r="H464" s="142"/>
      <c r="I464" s="462"/>
      <c r="J464" s="90"/>
      <c r="K464" s="94"/>
      <c r="L464" s="474"/>
      <c r="M464" s="482">
        <f>1287.419-144+30</f>
        <v>1173.419</v>
      </c>
      <c r="N464" s="494"/>
    </row>
    <row r="465" spans="1:14" ht="25.5">
      <c r="A465" s="63"/>
      <c r="B465" s="63"/>
      <c r="C465" s="59" t="s">
        <v>306</v>
      </c>
      <c r="D465" s="1"/>
      <c r="E465" s="16" t="s">
        <v>197</v>
      </c>
      <c r="F465" s="61">
        <f t="shared" si="164"/>
        <v>2097.96</v>
      </c>
      <c r="G465" s="452">
        <f>G466</f>
        <v>0</v>
      </c>
      <c r="H465" s="142">
        <f aca="true" t="shared" si="173" ref="H465:N466">H466</f>
        <v>0</v>
      </c>
      <c r="I465" s="462">
        <f t="shared" si="173"/>
        <v>0</v>
      </c>
      <c r="J465" s="90">
        <f t="shared" si="173"/>
        <v>0</v>
      </c>
      <c r="K465" s="94">
        <f t="shared" si="173"/>
        <v>1024.38</v>
      </c>
      <c r="L465" s="474">
        <f t="shared" si="173"/>
        <v>0</v>
      </c>
      <c r="M465" s="482">
        <f t="shared" si="173"/>
        <v>1073.58</v>
      </c>
      <c r="N465" s="494">
        <f t="shared" si="173"/>
        <v>0</v>
      </c>
    </row>
    <row r="466" spans="1:14" ht="12.75">
      <c r="A466" s="63"/>
      <c r="B466" s="63"/>
      <c r="C466" s="59"/>
      <c r="D466" s="1" t="s">
        <v>225</v>
      </c>
      <c r="E466" s="16" t="s">
        <v>226</v>
      </c>
      <c r="F466" s="61">
        <f t="shared" si="164"/>
        <v>2097.96</v>
      </c>
      <c r="G466" s="452">
        <f>G467</f>
        <v>0</v>
      </c>
      <c r="H466" s="142">
        <f t="shared" si="173"/>
        <v>0</v>
      </c>
      <c r="I466" s="462">
        <f t="shared" si="173"/>
        <v>0</v>
      </c>
      <c r="J466" s="90">
        <f t="shared" si="173"/>
        <v>0</v>
      </c>
      <c r="K466" s="94">
        <f t="shared" si="173"/>
        <v>1024.38</v>
      </c>
      <c r="L466" s="474">
        <f t="shared" si="173"/>
        <v>0</v>
      </c>
      <c r="M466" s="482">
        <f t="shared" si="173"/>
        <v>1073.58</v>
      </c>
      <c r="N466" s="494">
        <f t="shared" si="173"/>
        <v>0</v>
      </c>
    </row>
    <row r="467" spans="1:14" ht="26.25" customHeight="1">
      <c r="A467" s="63"/>
      <c r="B467" s="63"/>
      <c r="C467" s="59"/>
      <c r="D467" s="1" t="s">
        <v>128</v>
      </c>
      <c r="E467" s="16" t="s">
        <v>1211</v>
      </c>
      <c r="F467" s="61">
        <f t="shared" si="164"/>
        <v>2097.96</v>
      </c>
      <c r="G467" s="452"/>
      <c r="H467" s="142"/>
      <c r="I467" s="462"/>
      <c r="J467" s="90"/>
      <c r="K467" s="94">
        <v>1024.38</v>
      </c>
      <c r="L467" s="474"/>
      <c r="M467" s="482">
        <v>1073.58</v>
      </c>
      <c r="N467" s="494"/>
    </row>
    <row r="468" spans="1:14" ht="25.5">
      <c r="A468" s="63"/>
      <c r="B468" s="85">
        <v>1400</v>
      </c>
      <c r="C468" s="59"/>
      <c r="D468" s="1"/>
      <c r="E468" s="16" t="s">
        <v>351</v>
      </c>
      <c r="F468" s="61">
        <f>F469</f>
        <v>15415.3</v>
      </c>
      <c r="G468" s="451">
        <f aca="true" t="shared" si="174" ref="G468:N472">G469</f>
        <v>15415.3</v>
      </c>
      <c r="H468" s="141">
        <f t="shared" si="174"/>
        <v>0</v>
      </c>
      <c r="I468" s="461">
        <f t="shared" si="174"/>
        <v>0</v>
      </c>
      <c r="J468" s="89">
        <f t="shared" si="174"/>
        <v>0</v>
      </c>
      <c r="K468" s="93">
        <f t="shared" si="174"/>
        <v>0</v>
      </c>
      <c r="L468" s="471">
        <f t="shared" si="174"/>
        <v>0</v>
      </c>
      <c r="M468" s="481">
        <f t="shared" si="174"/>
        <v>0</v>
      </c>
      <c r="N468" s="491">
        <f t="shared" si="174"/>
        <v>0</v>
      </c>
    </row>
    <row r="469" spans="1:14" ht="12.75">
      <c r="A469" s="63"/>
      <c r="B469" s="85">
        <v>1402</v>
      </c>
      <c r="C469" s="59"/>
      <c r="D469" s="1"/>
      <c r="E469" s="16" t="s">
        <v>352</v>
      </c>
      <c r="F469" s="61">
        <f>F470</f>
        <v>15415.3</v>
      </c>
      <c r="G469" s="451">
        <f t="shared" si="174"/>
        <v>15415.3</v>
      </c>
      <c r="H469" s="141">
        <f t="shared" si="174"/>
        <v>0</v>
      </c>
      <c r="I469" s="461">
        <f t="shared" si="174"/>
        <v>0</v>
      </c>
      <c r="J469" s="89">
        <f t="shared" si="174"/>
        <v>0</v>
      </c>
      <c r="K469" s="93">
        <f t="shared" si="174"/>
        <v>0</v>
      </c>
      <c r="L469" s="471">
        <f t="shared" si="174"/>
        <v>0</v>
      </c>
      <c r="M469" s="481">
        <f t="shared" si="174"/>
        <v>0</v>
      </c>
      <c r="N469" s="491">
        <f t="shared" si="174"/>
        <v>0</v>
      </c>
    </row>
    <row r="470" spans="1:14" ht="12.75">
      <c r="A470" s="63"/>
      <c r="B470" s="63"/>
      <c r="C470" s="59" t="s">
        <v>348</v>
      </c>
      <c r="D470" s="1"/>
      <c r="E470" s="16" t="s">
        <v>353</v>
      </c>
      <c r="F470" s="61">
        <f>F471</f>
        <v>15415.3</v>
      </c>
      <c r="G470" s="451">
        <f t="shared" si="174"/>
        <v>15415.3</v>
      </c>
      <c r="H470" s="141">
        <f t="shared" si="174"/>
        <v>0</v>
      </c>
      <c r="I470" s="461">
        <f t="shared" si="174"/>
        <v>0</v>
      </c>
      <c r="J470" s="89">
        <f t="shared" si="174"/>
        <v>0</v>
      </c>
      <c r="K470" s="93">
        <f t="shared" si="174"/>
        <v>0</v>
      </c>
      <c r="L470" s="471">
        <f t="shared" si="174"/>
        <v>0</v>
      </c>
      <c r="M470" s="481">
        <f t="shared" si="174"/>
        <v>0</v>
      </c>
      <c r="N470" s="491">
        <f t="shared" si="174"/>
        <v>0</v>
      </c>
    </row>
    <row r="471" spans="1:14" ht="12.75">
      <c r="A471" s="63"/>
      <c r="B471" s="63"/>
      <c r="C471" s="59" t="s">
        <v>349</v>
      </c>
      <c r="D471" s="1"/>
      <c r="E471" s="16" t="s">
        <v>318</v>
      </c>
      <c r="F471" s="61">
        <f>F472</f>
        <v>15415.3</v>
      </c>
      <c r="G471" s="451">
        <f t="shared" si="174"/>
        <v>15415.3</v>
      </c>
      <c r="H471" s="141">
        <f t="shared" si="174"/>
        <v>0</v>
      </c>
      <c r="I471" s="461">
        <f t="shared" si="174"/>
        <v>0</v>
      </c>
      <c r="J471" s="89">
        <f t="shared" si="174"/>
        <v>0</v>
      </c>
      <c r="K471" s="93">
        <f t="shared" si="174"/>
        <v>0</v>
      </c>
      <c r="L471" s="471">
        <f t="shared" si="174"/>
        <v>0</v>
      </c>
      <c r="M471" s="481">
        <f t="shared" si="174"/>
        <v>0</v>
      </c>
      <c r="N471" s="491">
        <f t="shared" si="174"/>
        <v>0</v>
      </c>
    </row>
    <row r="472" spans="1:14" ht="12.75">
      <c r="A472" s="63"/>
      <c r="B472" s="63"/>
      <c r="C472" s="59"/>
      <c r="D472" s="1" t="s">
        <v>71</v>
      </c>
      <c r="E472" s="16" t="s">
        <v>38</v>
      </c>
      <c r="F472" s="61">
        <f>F473</f>
        <v>15415.3</v>
      </c>
      <c r="G472" s="451">
        <f t="shared" si="174"/>
        <v>15415.3</v>
      </c>
      <c r="H472" s="141">
        <f t="shared" si="174"/>
        <v>0</v>
      </c>
      <c r="I472" s="461">
        <f t="shared" si="174"/>
        <v>0</v>
      </c>
      <c r="J472" s="89">
        <f t="shared" si="174"/>
        <v>0</v>
      </c>
      <c r="K472" s="93">
        <f t="shared" si="174"/>
        <v>0</v>
      </c>
      <c r="L472" s="471">
        <f t="shared" si="174"/>
        <v>0</v>
      </c>
      <c r="M472" s="481">
        <f t="shared" si="174"/>
        <v>0</v>
      </c>
      <c r="N472" s="491">
        <f t="shared" si="174"/>
        <v>0</v>
      </c>
    </row>
    <row r="473" spans="1:14" ht="12.75">
      <c r="A473" s="63"/>
      <c r="B473" s="63"/>
      <c r="C473" s="59"/>
      <c r="D473" s="1" t="s">
        <v>350</v>
      </c>
      <c r="E473" s="16" t="s">
        <v>353</v>
      </c>
      <c r="F473" s="61">
        <f>G473+H473+I473+J473+K473+L473+M473+N473</f>
        <v>15415.3</v>
      </c>
      <c r="G473" s="451">
        <f>11600+4545.3-730</f>
        <v>15415.3</v>
      </c>
      <c r="H473" s="141"/>
      <c r="I473" s="461"/>
      <c r="J473" s="89"/>
      <c r="K473" s="93"/>
      <c r="L473" s="471"/>
      <c r="M473" s="481"/>
      <c r="N473" s="491"/>
    </row>
    <row r="474" spans="1:14" ht="12.75">
      <c r="A474" s="10" t="s">
        <v>129</v>
      </c>
      <c r="B474" s="10"/>
      <c r="C474" s="10"/>
      <c r="D474" s="10"/>
      <c r="E474" s="15" t="s">
        <v>186</v>
      </c>
      <c r="F474" s="66">
        <f>G474+H474+I474+J474+K474+L474+M474+N474</f>
        <v>37603.422000000006</v>
      </c>
      <c r="G474" s="453">
        <f>G475</f>
        <v>219.032</v>
      </c>
      <c r="H474" s="143">
        <f aca="true" t="shared" si="175" ref="H474:N474">H475</f>
        <v>3250</v>
      </c>
      <c r="I474" s="463">
        <f t="shared" si="175"/>
        <v>0</v>
      </c>
      <c r="J474" s="91">
        <f t="shared" si="175"/>
        <v>13399.625000000004</v>
      </c>
      <c r="K474" s="95">
        <f t="shared" si="175"/>
        <v>0</v>
      </c>
      <c r="L474" s="475">
        <f t="shared" si="175"/>
        <v>2085</v>
      </c>
      <c r="M474" s="483">
        <f t="shared" si="175"/>
        <v>18649.765</v>
      </c>
      <c r="N474" s="495">
        <f t="shared" si="175"/>
        <v>0</v>
      </c>
    </row>
    <row r="475" spans="1:14" ht="12.75">
      <c r="A475" s="1"/>
      <c r="B475" s="1" t="s">
        <v>60</v>
      </c>
      <c r="C475" s="1"/>
      <c r="D475" s="1"/>
      <c r="E475" s="5" t="s">
        <v>265</v>
      </c>
      <c r="F475" s="61">
        <f>F476+F501+F507</f>
        <v>37603.422000000006</v>
      </c>
      <c r="G475" s="451">
        <f aca="true" t="shared" si="176" ref="G475:N475">G476+G501+G507</f>
        <v>219.032</v>
      </c>
      <c r="H475" s="141">
        <f t="shared" si="176"/>
        <v>3250</v>
      </c>
      <c r="I475" s="461">
        <f t="shared" si="176"/>
        <v>0</v>
      </c>
      <c r="J475" s="89">
        <f t="shared" si="176"/>
        <v>13399.625000000004</v>
      </c>
      <c r="K475" s="93">
        <f t="shared" si="176"/>
        <v>0</v>
      </c>
      <c r="L475" s="471">
        <f t="shared" si="176"/>
        <v>2085</v>
      </c>
      <c r="M475" s="481">
        <f t="shared" si="176"/>
        <v>18649.765</v>
      </c>
      <c r="N475" s="491">
        <f t="shared" si="176"/>
        <v>0</v>
      </c>
    </row>
    <row r="476" spans="1:14" ht="12.75">
      <c r="A476" s="1"/>
      <c r="B476" s="1" t="s">
        <v>61</v>
      </c>
      <c r="C476" s="1"/>
      <c r="D476" s="1"/>
      <c r="E476" s="16" t="s">
        <v>62</v>
      </c>
      <c r="F476" s="61">
        <f>F477+F482+F491+F496</f>
        <v>48977.065</v>
      </c>
      <c r="G476" s="451">
        <f aca="true" t="shared" si="177" ref="G476:N476">G477+G482+G491+G496</f>
        <v>0</v>
      </c>
      <c r="H476" s="141">
        <f t="shared" si="177"/>
        <v>3250</v>
      </c>
      <c r="I476" s="461">
        <f t="shared" si="177"/>
        <v>0</v>
      </c>
      <c r="J476" s="89">
        <f t="shared" si="177"/>
        <v>24992.300000000003</v>
      </c>
      <c r="K476" s="93">
        <f t="shared" si="177"/>
        <v>0</v>
      </c>
      <c r="L476" s="471">
        <f t="shared" si="177"/>
        <v>2085</v>
      </c>
      <c r="M476" s="481">
        <f t="shared" si="177"/>
        <v>18649.765</v>
      </c>
      <c r="N476" s="491">
        <f t="shared" si="177"/>
        <v>0</v>
      </c>
    </row>
    <row r="477" spans="1:14" ht="12.75">
      <c r="A477" s="1"/>
      <c r="B477" s="1"/>
      <c r="C477" s="1" t="s">
        <v>82</v>
      </c>
      <c r="D477" s="1"/>
      <c r="E477" s="16" t="s">
        <v>264</v>
      </c>
      <c r="F477" s="61">
        <f>F478</f>
        <v>5202.178</v>
      </c>
      <c r="G477" s="451">
        <f aca="true" t="shared" si="178" ref="G477:N480">G478</f>
        <v>0</v>
      </c>
      <c r="H477" s="141">
        <f t="shared" si="178"/>
        <v>0</v>
      </c>
      <c r="I477" s="461">
        <f t="shared" si="178"/>
        <v>0</v>
      </c>
      <c r="J477" s="89">
        <f t="shared" si="178"/>
        <v>0</v>
      </c>
      <c r="K477" s="93">
        <f t="shared" si="178"/>
        <v>0</v>
      </c>
      <c r="L477" s="471">
        <f t="shared" si="178"/>
        <v>0</v>
      </c>
      <c r="M477" s="481">
        <f t="shared" si="178"/>
        <v>5202.178</v>
      </c>
      <c r="N477" s="491">
        <f t="shared" si="178"/>
        <v>0</v>
      </c>
    </row>
    <row r="478" spans="1:14" ht="12.75">
      <c r="A478" s="1"/>
      <c r="B478" s="1"/>
      <c r="C478" s="1" t="s">
        <v>1054</v>
      </c>
      <c r="D478" s="1"/>
      <c r="E478" s="16" t="s">
        <v>1056</v>
      </c>
      <c r="F478" s="61">
        <f>F479</f>
        <v>5202.178</v>
      </c>
      <c r="G478" s="451">
        <f t="shared" si="178"/>
        <v>0</v>
      </c>
      <c r="H478" s="141">
        <f t="shared" si="178"/>
        <v>0</v>
      </c>
      <c r="I478" s="461">
        <f t="shared" si="178"/>
        <v>0</v>
      </c>
      <c r="J478" s="89">
        <f t="shared" si="178"/>
        <v>0</v>
      </c>
      <c r="K478" s="93">
        <f t="shared" si="178"/>
        <v>0</v>
      </c>
      <c r="L478" s="471">
        <f t="shared" si="178"/>
        <v>0</v>
      </c>
      <c r="M478" s="481">
        <f t="shared" si="178"/>
        <v>5202.178</v>
      </c>
      <c r="N478" s="491">
        <f t="shared" si="178"/>
        <v>0</v>
      </c>
    </row>
    <row r="479" spans="1:14" ht="38.25">
      <c r="A479" s="1"/>
      <c r="B479" s="1"/>
      <c r="C479" s="1" t="s">
        <v>1055</v>
      </c>
      <c r="D479" s="1"/>
      <c r="E479" s="16" t="s">
        <v>1057</v>
      </c>
      <c r="F479" s="61">
        <f>F480</f>
        <v>5202.178</v>
      </c>
      <c r="G479" s="451">
        <f t="shared" si="178"/>
        <v>0</v>
      </c>
      <c r="H479" s="141">
        <f t="shared" si="178"/>
        <v>0</v>
      </c>
      <c r="I479" s="461">
        <f t="shared" si="178"/>
        <v>0</v>
      </c>
      <c r="J479" s="89">
        <f t="shared" si="178"/>
        <v>0</v>
      </c>
      <c r="K479" s="93">
        <f t="shared" si="178"/>
        <v>0</v>
      </c>
      <c r="L479" s="471">
        <f t="shared" si="178"/>
        <v>0</v>
      </c>
      <c r="M479" s="481">
        <f t="shared" si="178"/>
        <v>5202.178</v>
      </c>
      <c r="N479" s="491">
        <f t="shared" si="178"/>
        <v>0</v>
      </c>
    </row>
    <row r="480" spans="1:14" ht="27.75" customHeight="1">
      <c r="A480" s="1"/>
      <c r="B480" s="1"/>
      <c r="C480" s="1"/>
      <c r="D480" s="1" t="s">
        <v>232</v>
      </c>
      <c r="E480" s="48" t="s">
        <v>403</v>
      </c>
      <c r="F480" s="61">
        <f>F481</f>
        <v>5202.178</v>
      </c>
      <c r="G480" s="451">
        <f t="shared" si="178"/>
        <v>0</v>
      </c>
      <c r="H480" s="141">
        <f t="shared" si="178"/>
        <v>0</v>
      </c>
      <c r="I480" s="461">
        <f t="shared" si="178"/>
        <v>0</v>
      </c>
      <c r="J480" s="89">
        <f t="shared" si="178"/>
        <v>0</v>
      </c>
      <c r="K480" s="93">
        <f t="shared" si="178"/>
        <v>0</v>
      </c>
      <c r="L480" s="471">
        <f t="shared" si="178"/>
        <v>0</v>
      </c>
      <c r="M480" s="481">
        <f t="shared" si="178"/>
        <v>5202.178</v>
      </c>
      <c r="N480" s="491">
        <f t="shared" si="178"/>
        <v>0</v>
      </c>
    </row>
    <row r="481" spans="1:14" ht="12.75">
      <c r="A481" s="1"/>
      <c r="B481" s="1"/>
      <c r="C481" s="1"/>
      <c r="D481" s="1" t="s">
        <v>132</v>
      </c>
      <c r="E481" s="16" t="s">
        <v>251</v>
      </c>
      <c r="F481" s="61">
        <f aca="true" t="shared" si="179" ref="F481:F486">G481+H481+I481+J481+K481+L481+M481+N481</f>
        <v>5202.178</v>
      </c>
      <c r="G481" s="451"/>
      <c r="H481" s="141"/>
      <c r="I481" s="461"/>
      <c r="J481" s="89"/>
      <c r="K481" s="93"/>
      <c r="L481" s="471"/>
      <c r="M481" s="481">
        <v>5202.178</v>
      </c>
      <c r="N481" s="491"/>
    </row>
    <row r="482" spans="1:14" ht="12.75">
      <c r="A482" s="1"/>
      <c r="B482" s="1"/>
      <c r="C482" s="1" t="s">
        <v>37</v>
      </c>
      <c r="D482" s="1"/>
      <c r="E482" s="16" t="s">
        <v>38</v>
      </c>
      <c r="F482" s="61">
        <f t="shared" si="179"/>
        <v>13778.201000000001</v>
      </c>
      <c r="G482" s="452">
        <f>G483+G487</f>
        <v>0</v>
      </c>
      <c r="H482" s="142">
        <f aca="true" t="shared" si="180" ref="H482:N482">H483+H487</f>
        <v>0</v>
      </c>
      <c r="I482" s="462">
        <f t="shared" si="180"/>
        <v>0</v>
      </c>
      <c r="J482" s="90">
        <f t="shared" si="180"/>
        <v>8778.2</v>
      </c>
      <c r="K482" s="94">
        <f t="shared" si="180"/>
        <v>0</v>
      </c>
      <c r="L482" s="474">
        <f t="shared" si="180"/>
        <v>2085</v>
      </c>
      <c r="M482" s="482">
        <f t="shared" si="180"/>
        <v>2915.001</v>
      </c>
      <c r="N482" s="494">
        <f t="shared" si="180"/>
        <v>0</v>
      </c>
    </row>
    <row r="483" spans="1:14" ht="25.5">
      <c r="A483" s="63"/>
      <c r="B483" s="63"/>
      <c r="C483" s="1" t="s">
        <v>209</v>
      </c>
      <c r="D483" s="1"/>
      <c r="E483" s="49" t="s">
        <v>3</v>
      </c>
      <c r="F483" s="61">
        <f t="shared" si="179"/>
        <v>5000.001</v>
      </c>
      <c r="G483" s="452">
        <f>G484</f>
        <v>0</v>
      </c>
      <c r="H483" s="142">
        <f aca="true" t="shared" si="181" ref="H483:N485">H484</f>
        <v>0</v>
      </c>
      <c r="I483" s="462">
        <f t="shared" si="181"/>
        <v>0</v>
      </c>
      <c r="J483" s="90">
        <f t="shared" si="181"/>
        <v>0</v>
      </c>
      <c r="K483" s="94">
        <f t="shared" si="181"/>
        <v>0</v>
      </c>
      <c r="L483" s="474">
        <f t="shared" si="181"/>
        <v>2085</v>
      </c>
      <c r="M483" s="482">
        <f t="shared" si="181"/>
        <v>2915.001</v>
      </c>
      <c r="N483" s="494">
        <f t="shared" si="181"/>
        <v>0</v>
      </c>
    </row>
    <row r="484" spans="1:14" ht="12.75">
      <c r="A484" s="63"/>
      <c r="B484" s="63"/>
      <c r="C484" s="59" t="s">
        <v>288</v>
      </c>
      <c r="D484" s="1"/>
      <c r="E484" s="16" t="s">
        <v>166</v>
      </c>
      <c r="F484" s="61">
        <f t="shared" si="179"/>
        <v>5000.001</v>
      </c>
      <c r="G484" s="452">
        <f>G485</f>
        <v>0</v>
      </c>
      <c r="H484" s="142">
        <f t="shared" si="181"/>
        <v>0</v>
      </c>
      <c r="I484" s="462">
        <f t="shared" si="181"/>
        <v>0</v>
      </c>
      <c r="J484" s="90">
        <f t="shared" si="181"/>
        <v>0</v>
      </c>
      <c r="K484" s="94">
        <f t="shared" si="181"/>
        <v>0</v>
      </c>
      <c r="L484" s="474">
        <f t="shared" si="181"/>
        <v>2085</v>
      </c>
      <c r="M484" s="482">
        <f t="shared" si="181"/>
        <v>2915.001</v>
      </c>
      <c r="N484" s="494">
        <f t="shared" si="181"/>
        <v>0</v>
      </c>
    </row>
    <row r="485" spans="1:14" ht="26.25" customHeight="1">
      <c r="A485" s="63"/>
      <c r="B485" s="63"/>
      <c r="C485" s="59"/>
      <c r="D485" s="1" t="s">
        <v>232</v>
      </c>
      <c r="E485" s="48" t="s">
        <v>403</v>
      </c>
      <c r="F485" s="61">
        <f t="shared" si="179"/>
        <v>5000.001</v>
      </c>
      <c r="G485" s="452">
        <f>G486</f>
        <v>0</v>
      </c>
      <c r="H485" s="142">
        <f t="shared" si="181"/>
        <v>0</v>
      </c>
      <c r="I485" s="462">
        <f t="shared" si="181"/>
        <v>0</v>
      </c>
      <c r="J485" s="90">
        <f t="shared" si="181"/>
        <v>0</v>
      </c>
      <c r="K485" s="94">
        <f t="shared" si="181"/>
        <v>0</v>
      </c>
      <c r="L485" s="474">
        <f t="shared" si="181"/>
        <v>2085</v>
      </c>
      <c r="M485" s="482">
        <f t="shared" si="181"/>
        <v>2915.001</v>
      </c>
      <c r="N485" s="494">
        <f t="shared" si="181"/>
        <v>0</v>
      </c>
    </row>
    <row r="486" spans="1:14" ht="12.75">
      <c r="A486" s="63"/>
      <c r="B486" s="63"/>
      <c r="C486" s="59"/>
      <c r="D486" s="1" t="s">
        <v>132</v>
      </c>
      <c r="E486" s="16" t="s">
        <v>251</v>
      </c>
      <c r="F486" s="61">
        <f t="shared" si="179"/>
        <v>5000.001</v>
      </c>
      <c r="G486" s="452"/>
      <c r="H486" s="142"/>
      <c r="I486" s="462"/>
      <c r="J486" s="90"/>
      <c r="K486" s="94"/>
      <c r="L486" s="474">
        <v>2085</v>
      </c>
      <c r="M486" s="482">
        <v>2915.001</v>
      </c>
      <c r="N486" s="494"/>
    </row>
    <row r="487" spans="1:14" ht="25.5">
      <c r="A487" s="63"/>
      <c r="B487" s="63"/>
      <c r="C487" s="59" t="s">
        <v>78</v>
      </c>
      <c r="D487" s="1"/>
      <c r="E487" s="16" t="s">
        <v>79</v>
      </c>
      <c r="F487" s="61">
        <f>F488</f>
        <v>8778.2</v>
      </c>
      <c r="G487" s="451">
        <f aca="true" t="shared" si="182" ref="G487:N489">G488</f>
        <v>0</v>
      </c>
      <c r="H487" s="141">
        <f t="shared" si="182"/>
        <v>0</v>
      </c>
      <c r="I487" s="461">
        <f t="shared" si="182"/>
        <v>0</v>
      </c>
      <c r="J487" s="89">
        <f t="shared" si="182"/>
        <v>8778.2</v>
      </c>
      <c r="K487" s="93">
        <f t="shared" si="182"/>
        <v>0</v>
      </c>
      <c r="L487" s="471">
        <f t="shared" si="182"/>
        <v>0</v>
      </c>
      <c r="M487" s="481">
        <f t="shared" si="182"/>
        <v>0</v>
      </c>
      <c r="N487" s="491">
        <f t="shared" si="182"/>
        <v>0</v>
      </c>
    </row>
    <row r="488" spans="1:14" ht="12.75">
      <c r="A488" s="63"/>
      <c r="B488" s="63"/>
      <c r="C488" s="1" t="s">
        <v>258</v>
      </c>
      <c r="D488" s="1"/>
      <c r="E488" s="16" t="s">
        <v>142</v>
      </c>
      <c r="F488" s="61">
        <f>G488+H488+I488+J488+K488+L488+M488+N488</f>
        <v>8778.2</v>
      </c>
      <c r="G488" s="452">
        <f>G489</f>
        <v>0</v>
      </c>
      <c r="H488" s="142">
        <f t="shared" si="182"/>
        <v>0</v>
      </c>
      <c r="I488" s="462">
        <f t="shared" si="182"/>
        <v>0</v>
      </c>
      <c r="J488" s="90">
        <f t="shared" si="182"/>
        <v>8778.2</v>
      </c>
      <c r="K488" s="94">
        <f t="shared" si="182"/>
        <v>0</v>
      </c>
      <c r="L488" s="474">
        <f t="shared" si="182"/>
        <v>0</v>
      </c>
      <c r="M488" s="482">
        <f t="shared" si="182"/>
        <v>0</v>
      </c>
      <c r="N488" s="494">
        <f t="shared" si="182"/>
        <v>0</v>
      </c>
    </row>
    <row r="489" spans="1:14" ht="27" customHeight="1">
      <c r="A489" s="63"/>
      <c r="B489" s="63"/>
      <c r="C489" s="1"/>
      <c r="D489" s="1" t="s">
        <v>232</v>
      </c>
      <c r="E489" s="48" t="s">
        <v>403</v>
      </c>
      <c r="F489" s="61">
        <f>G489+H489+I489+J489+K489+L489+M489+N489</f>
        <v>8778.2</v>
      </c>
      <c r="G489" s="452">
        <f>G490</f>
        <v>0</v>
      </c>
      <c r="H489" s="142">
        <f t="shared" si="182"/>
        <v>0</v>
      </c>
      <c r="I489" s="462">
        <f t="shared" si="182"/>
        <v>0</v>
      </c>
      <c r="J489" s="90">
        <f t="shared" si="182"/>
        <v>8778.2</v>
      </c>
      <c r="K489" s="94">
        <f t="shared" si="182"/>
        <v>0</v>
      </c>
      <c r="L489" s="474">
        <f t="shared" si="182"/>
        <v>0</v>
      </c>
      <c r="M489" s="482">
        <f t="shared" si="182"/>
        <v>0</v>
      </c>
      <c r="N489" s="494">
        <f t="shared" si="182"/>
        <v>0</v>
      </c>
    </row>
    <row r="490" spans="1:14" ht="12.75">
      <c r="A490" s="63"/>
      <c r="B490" s="63"/>
      <c r="C490" s="1"/>
      <c r="D490" s="1" t="s">
        <v>132</v>
      </c>
      <c r="E490" s="16" t="s">
        <v>251</v>
      </c>
      <c r="F490" s="61">
        <f>G490+H490+I490+J490+K490+L490+M490+N490</f>
        <v>8778.2</v>
      </c>
      <c r="G490" s="452"/>
      <c r="H490" s="142"/>
      <c r="I490" s="462"/>
      <c r="J490" s="90">
        <f>-2814.5+11592.7</f>
        <v>8778.2</v>
      </c>
      <c r="K490" s="94"/>
      <c r="L490" s="474"/>
      <c r="M490" s="482"/>
      <c r="N490" s="494"/>
    </row>
    <row r="491" spans="1:14" ht="12.75">
      <c r="A491" s="63"/>
      <c r="B491" s="63"/>
      <c r="C491" s="1" t="s">
        <v>105</v>
      </c>
      <c r="D491" s="1"/>
      <c r="E491" s="16" t="s">
        <v>106</v>
      </c>
      <c r="F491" s="61">
        <f>F492</f>
        <v>26746.686</v>
      </c>
      <c r="G491" s="451">
        <f aca="true" t="shared" si="183" ref="G491:N494">G492</f>
        <v>0</v>
      </c>
      <c r="H491" s="141">
        <f t="shared" si="183"/>
        <v>0</v>
      </c>
      <c r="I491" s="461">
        <f t="shared" si="183"/>
        <v>0</v>
      </c>
      <c r="J491" s="89">
        <f t="shared" si="183"/>
        <v>16214.1</v>
      </c>
      <c r="K491" s="93">
        <f t="shared" si="183"/>
        <v>0</v>
      </c>
      <c r="L491" s="471">
        <f t="shared" si="183"/>
        <v>0</v>
      </c>
      <c r="M491" s="481">
        <f t="shared" si="183"/>
        <v>10532.586</v>
      </c>
      <c r="N491" s="491">
        <f t="shared" si="183"/>
        <v>0</v>
      </c>
    </row>
    <row r="492" spans="1:14" ht="38.25">
      <c r="A492" s="63"/>
      <c r="B492" s="63"/>
      <c r="C492" s="1" t="s">
        <v>1058</v>
      </c>
      <c r="D492" s="1"/>
      <c r="E492" s="16" t="s">
        <v>1060</v>
      </c>
      <c r="F492" s="61">
        <f>F493</f>
        <v>26746.686</v>
      </c>
      <c r="G492" s="451">
        <f t="shared" si="183"/>
        <v>0</v>
      </c>
      <c r="H492" s="141">
        <f t="shared" si="183"/>
        <v>0</v>
      </c>
      <c r="I492" s="461">
        <f t="shared" si="183"/>
        <v>0</v>
      </c>
      <c r="J492" s="89">
        <f t="shared" si="183"/>
        <v>16214.1</v>
      </c>
      <c r="K492" s="93">
        <f t="shared" si="183"/>
        <v>0</v>
      </c>
      <c r="L492" s="471">
        <f t="shared" si="183"/>
        <v>0</v>
      </c>
      <c r="M492" s="481">
        <f t="shared" si="183"/>
        <v>10532.586</v>
      </c>
      <c r="N492" s="491">
        <f t="shared" si="183"/>
        <v>0</v>
      </c>
    </row>
    <row r="493" spans="1:14" ht="12.75">
      <c r="A493" s="63"/>
      <c r="B493" s="63"/>
      <c r="C493" s="1" t="s">
        <v>1059</v>
      </c>
      <c r="D493" s="1"/>
      <c r="E493" s="16" t="s">
        <v>1061</v>
      </c>
      <c r="F493" s="61">
        <f>F494</f>
        <v>26746.686</v>
      </c>
      <c r="G493" s="451">
        <f t="shared" si="183"/>
        <v>0</v>
      </c>
      <c r="H493" s="141">
        <f t="shared" si="183"/>
        <v>0</v>
      </c>
      <c r="I493" s="461">
        <f t="shared" si="183"/>
        <v>0</v>
      </c>
      <c r="J493" s="89">
        <f t="shared" si="183"/>
        <v>16214.1</v>
      </c>
      <c r="K493" s="93">
        <f t="shared" si="183"/>
        <v>0</v>
      </c>
      <c r="L493" s="471">
        <f t="shared" si="183"/>
        <v>0</v>
      </c>
      <c r="M493" s="481">
        <f t="shared" si="183"/>
        <v>10532.586</v>
      </c>
      <c r="N493" s="491">
        <f t="shared" si="183"/>
        <v>0</v>
      </c>
    </row>
    <row r="494" spans="1:14" ht="27.75" customHeight="1">
      <c r="A494" s="63"/>
      <c r="B494" s="63"/>
      <c r="C494" s="1"/>
      <c r="D494" s="1" t="s">
        <v>232</v>
      </c>
      <c r="E494" s="48" t="s">
        <v>403</v>
      </c>
      <c r="F494" s="61">
        <f>F495</f>
        <v>26746.686</v>
      </c>
      <c r="G494" s="451">
        <f t="shared" si="183"/>
        <v>0</v>
      </c>
      <c r="H494" s="141">
        <f t="shared" si="183"/>
        <v>0</v>
      </c>
      <c r="I494" s="461">
        <f t="shared" si="183"/>
        <v>0</v>
      </c>
      <c r="J494" s="89">
        <f t="shared" si="183"/>
        <v>16214.1</v>
      </c>
      <c r="K494" s="93">
        <f t="shared" si="183"/>
        <v>0</v>
      </c>
      <c r="L494" s="471">
        <f t="shared" si="183"/>
        <v>0</v>
      </c>
      <c r="M494" s="481">
        <f t="shared" si="183"/>
        <v>10532.586</v>
      </c>
      <c r="N494" s="491">
        <f t="shared" si="183"/>
        <v>0</v>
      </c>
    </row>
    <row r="495" spans="1:14" ht="12.75">
      <c r="A495" s="63"/>
      <c r="B495" s="63"/>
      <c r="C495" s="1"/>
      <c r="D495" s="1" t="s">
        <v>132</v>
      </c>
      <c r="E495" s="16" t="s">
        <v>251</v>
      </c>
      <c r="F495" s="61">
        <f>G495+H495+I495+J495+K495+L495+M495+N495</f>
        <v>26746.686</v>
      </c>
      <c r="G495" s="452"/>
      <c r="H495" s="142"/>
      <c r="I495" s="462"/>
      <c r="J495" s="90">
        <v>16214.1</v>
      </c>
      <c r="K495" s="94"/>
      <c r="L495" s="474"/>
      <c r="M495" s="482">
        <v>10532.586</v>
      </c>
      <c r="N495" s="494"/>
    </row>
    <row r="496" spans="1:14" ht="12.75">
      <c r="A496" s="63"/>
      <c r="B496" s="63"/>
      <c r="C496" s="1" t="s">
        <v>54</v>
      </c>
      <c r="D496" s="1"/>
      <c r="E496" s="16" t="s">
        <v>55</v>
      </c>
      <c r="F496" s="61">
        <f>F497</f>
        <v>3250</v>
      </c>
      <c r="G496" s="451">
        <f aca="true" t="shared" si="184" ref="G496:N499">G497</f>
        <v>0</v>
      </c>
      <c r="H496" s="141">
        <f t="shared" si="184"/>
        <v>3250</v>
      </c>
      <c r="I496" s="461">
        <f t="shared" si="184"/>
        <v>0</v>
      </c>
      <c r="J496" s="89">
        <f t="shared" si="184"/>
        <v>0</v>
      </c>
      <c r="K496" s="93">
        <f t="shared" si="184"/>
        <v>0</v>
      </c>
      <c r="L496" s="471">
        <f t="shared" si="184"/>
        <v>0</v>
      </c>
      <c r="M496" s="481">
        <f t="shared" si="184"/>
        <v>0</v>
      </c>
      <c r="N496" s="491">
        <f t="shared" si="184"/>
        <v>0</v>
      </c>
    </row>
    <row r="497" spans="1:14" ht="12.75">
      <c r="A497" s="63"/>
      <c r="B497" s="63"/>
      <c r="C497" s="1" t="s">
        <v>56</v>
      </c>
      <c r="D497" s="1"/>
      <c r="E497" s="16" t="s">
        <v>57</v>
      </c>
      <c r="F497" s="61">
        <f>F498</f>
        <v>3250</v>
      </c>
      <c r="G497" s="451">
        <f t="shared" si="184"/>
        <v>0</v>
      </c>
      <c r="H497" s="141">
        <f t="shared" si="184"/>
        <v>3250</v>
      </c>
      <c r="I497" s="461">
        <f t="shared" si="184"/>
        <v>0</v>
      </c>
      <c r="J497" s="89">
        <f t="shared" si="184"/>
        <v>0</v>
      </c>
      <c r="K497" s="93">
        <f t="shared" si="184"/>
        <v>0</v>
      </c>
      <c r="L497" s="471">
        <f t="shared" si="184"/>
        <v>0</v>
      </c>
      <c r="M497" s="481">
        <f t="shared" si="184"/>
        <v>0</v>
      </c>
      <c r="N497" s="491">
        <f t="shared" si="184"/>
        <v>0</v>
      </c>
    </row>
    <row r="498" spans="1:14" ht="12.75">
      <c r="A498" s="63"/>
      <c r="B498" s="63"/>
      <c r="C498" s="1" t="s">
        <v>354</v>
      </c>
      <c r="D498" s="1"/>
      <c r="E498" s="16" t="s">
        <v>355</v>
      </c>
      <c r="F498" s="61">
        <f>F499</f>
        <v>3250</v>
      </c>
      <c r="G498" s="451">
        <f t="shared" si="184"/>
        <v>0</v>
      </c>
      <c r="H498" s="141">
        <f t="shared" si="184"/>
        <v>3250</v>
      </c>
      <c r="I498" s="461">
        <f t="shared" si="184"/>
        <v>0</v>
      </c>
      <c r="J498" s="89">
        <f t="shared" si="184"/>
        <v>0</v>
      </c>
      <c r="K498" s="93">
        <f t="shared" si="184"/>
        <v>0</v>
      </c>
      <c r="L498" s="471">
        <f t="shared" si="184"/>
        <v>0</v>
      </c>
      <c r="M498" s="481">
        <f t="shared" si="184"/>
        <v>0</v>
      </c>
      <c r="N498" s="491">
        <f t="shared" si="184"/>
        <v>0</v>
      </c>
    </row>
    <row r="499" spans="1:14" ht="26.25" customHeight="1">
      <c r="A499" s="63"/>
      <c r="B499" s="63"/>
      <c r="C499" s="1"/>
      <c r="D499" s="1" t="s">
        <v>232</v>
      </c>
      <c r="E499" s="48" t="s">
        <v>403</v>
      </c>
      <c r="F499" s="61">
        <f>F500</f>
        <v>3250</v>
      </c>
      <c r="G499" s="451">
        <f t="shared" si="184"/>
        <v>0</v>
      </c>
      <c r="H499" s="141">
        <f t="shared" si="184"/>
        <v>3250</v>
      </c>
      <c r="I499" s="461">
        <f t="shared" si="184"/>
        <v>0</v>
      </c>
      <c r="J499" s="89">
        <f t="shared" si="184"/>
        <v>0</v>
      </c>
      <c r="K499" s="93">
        <f t="shared" si="184"/>
        <v>0</v>
      </c>
      <c r="L499" s="471">
        <f t="shared" si="184"/>
        <v>0</v>
      </c>
      <c r="M499" s="481">
        <f t="shared" si="184"/>
        <v>0</v>
      </c>
      <c r="N499" s="491">
        <f t="shared" si="184"/>
        <v>0</v>
      </c>
    </row>
    <row r="500" spans="1:14" ht="12.75">
      <c r="A500" s="63"/>
      <c r="B500" s="63"/>
      <c r="C500" s="1"/>
      <c r="D500" s="1" t="s">
        <v>132</v>
      </c>
      <c r="E500" s="16" t="s">
        <v>251</v>
      </c>
      <c r="F500" s="61">
        <f>G500+H500+I500+J500+K500+L500+M500+N500</f>
        <v>3250</v>
      </c>
      <c r="G500" s="452"/>
      <c r="H500" s="142">
        <f>12000-10000+1250</f>
        <v>3250</v>
      </c>
      <c r="I500" s="462"/>
      <c r="J500" s="90"/>
      <c r="K500" s="94"/>
      <c r="L500" s="474"/>
      <c r="M500" s="482"/>
      <c r="N500" s="494"/>
    </row>
    <row r="501" spans="1:14" ht="12.75">
      <c r="A501" s="63"/>
      <c r="B501" s="83" t="s">
        <v>1062</v>
      </c>
      <c r="C501" s="59"/>
      <c r="D501" s="1"/>
      <c r="E501" s="16" t="s">
        <v>1064</v>
      </c>
      <c r="F501" s="61">
        <f>F502</f>
        <v>-11458.643</v>
      </c>
      <c r="G501" s="451">
        <f aca="true" t="shared" si="185" ref="G501:N505">G502</f>
        <v>0</v>
      </c>
      <c r="H501" s="141">
        <f t="shared" si="185"/>
        <v>0</v>
      </c>
      <c r="I501" s="461">
        <f t="shared" si="185"/>
        <v>0</v>
      </c>
      <c r="J501" s="89">
        <f t="shared" si="185"/>
        <v>-11458.643</v>
      </c>
      <c r="K501" s="93">
        <f t="shared" si="185"/>
        <v>0</v>
      </c>
      <c r="L501" s="471">
        <f t="shared" si="185"/>
        <v>0</v>
      </c>
      <c r="M501" s="481">
        <f t="shared" si="185"/>
        <v>0</v>
      </c>
      <c r="N501" s="491">
        <f t="shared" si="185"/>
        <v>0</v>
      </c>
    </row>
    <row r="502" spans="1:14" ht="12.75">
      <c r="A502" s="63"/>
      <c r="B502" s="63"/>
      <c r="C502" s="1" t="s">
        <v>37</v>
      </c>
      <c r="D502" s="1"/>
      <c r="E502" s="16" t="s">
        <v>38</v>
      </c>
      <c r="F502" s="61">
        <f>F503</f>
        <v>-11458.643</v>
      </c>
      <c r="G502" s="451">
        <f t="shared" si="185"/>
        <v>0</v>
      </c>
      <c r="H502" s="141">
        <f t="shared" si="185"/>
        <v>0</v>
      </c>
      <c r="I502" s="461">
        <f t="shared" si="185"/>
        <v>0</v>
      </c>
      <c r="J502" s="89">
        <f t="shared" si="185"/>
        <v>-11458.643</v>
      </c>
      <c r="K502" s="93">
        <f t="shared" si="185"/>
        <v>0</v>
      </c>
      <c r="L502" s="471">
        <f t="shared" si="185"/>
        <v>0</v>
      </c>
      <c r="M502" s="481">
        <f t="shared" si="185"/>
        <v>0</v>
      </c>
      <c r="N502" s="491">
        <f t="shared" si="185"/>
        <v>0</v>
      </c>
    </row>
    <row r="503" spans="1:14" ht="25.5">
      <c r="A503" s="63"/>
      <c r="B503" s="63"/>
      <c r="C503" s="59" t="s">
        <v>78</v>
      </c>
      <c r="D503" s="1"/>
      <c r="E503" s="16" t="s">
        <v>79</v>
      </c>
      <c r="F503" s="61">
        <f>F504</f>
        <v>-11458.643</v>
      </c>
      <c r="G503" s="451">
        <f t="shared" si="185"/>
        <v>0</v>
      </c>
      <c r="H503" s="141">
        <f t="shared" si="185"/>
        <v>0</v>
      </c>
      <c r="I503" s="461">
        <f t="shared" si="185"/>
        <v>0</v>
      </c>
      <c r="J503" s="89">
        <f t="shared" si="185"/>
        <v>-11458.643</v>
      </c>
      <c r="K503" s="93">
        <f t="shared" si="185"/>
        <v>0</v>
      </c>
      <c r="L503" s="471">
        <f t="shared" si="185"/>
        <v>0</v>
      </c>
      <c r="M503" s="481">
        <f t="shared" si="185"/>
        <v>0</v>
      </c>
      <c r="N503" s="491">
        <f t="shared" si="185"/>
        <v>0</v>
      </c>
    </row>
    <row r="504" spans="1:14" ht="12.75">
      <c r="A504" s="63"/>
      <c r="B504" s="63"/>
      <c r="C504" s="1" t="s">
        <v>258</v>
      </c>
      <c r="D504" s="1"/>
      <c r="E504" s="16" t="s">
        <v>142</v>
      </c>
      <c r="F504" s="61">
        <f>F505</f>
        <v>-11458.643</v>
      </c>
      <c r="G504" s="451">
        <f t="shared" si="185"/>
        <v>0</v>
      </c>
      <c r="H504" s="141">
        <f t="shared" si="185"/>
        <v>0</v>
      </c>
      <c r="I504" s="461">
        <f t="shared" si="185"/>
        <v>0</v>
      </c>
      <c r="J504" s="89">
        <f t="shared" si="185"/>
        <v>-11458.643</v>
      </c>
      <c r="K504" s="93">
        <f t="shared" si="185"/>
        <v>0</v>
      </c>
      <c r="L504" s="471">
        <f t="shared" si="185"/>
        <v>0</v>
      </c>
      <c r="M504" s="481">
        <f t="shared" si="185"/>
        <v>0</v>
      </c>
      <c r="N504" s="491">
        <f t="shared" si="185"/>
        <v>0</v>
      </c>
    </row>
    <row r="505" spans="1:14" ht="27" customHeight="1">
      <c r="A505" s="63"/>
      <c r="B505" s="63"/>
      <c r="C505" s="1"/>
      <c r="D505" s="1" t="s">
        <v>232</v>
      </c>
      <c r="E505" s="48" t="s">
        <v>403</v>
      </c>
      <c r="F505" s="61">
        <f>F506</f>
        <v>-11458.643</v>
      </c>
      <c r="G505" s="451">
        <f t="shared" si="185"/>
        <v>0</v>
      </c>
      <c r="H505" s="141">
        <f t="shared" si="185"/>
        <v>0</v>
      </c>
      <c r="I505" s="461">
        <f t="shared" si="185"/>
        <v>0</v>
      </c>
      <c r="J505" s="89">
        <f t="shared" si="185"/>
        <v>-11458.643</v>
      </c>
      <c r="K505" s="93">
        <f t="shared" si="185"/>
        <v>0</v>
      </c>
      <c r="L505" s="471">
        <f t="shared" si="185"/>
        <v>0</v>
      </c>
      <c r="M505" s="481">
        <f t="shared" si="185"/>
        <v>0</v>
      </c>
      <c r="N505" s="491">
        <f t="shared" si="185"/>
        <v>0</v>
      </c>
    </row>
    <row r="506" spans="1:14" ht="12.75">
      <c r="A506" s="63"/>
      <c r="B506" s="63"/>
      <c r="C506" s="1"/>
      <c r="D506" s="1" t="s">
        <v>132</v>
      </c>
      <c r="E506" s="16" t="s">
        <v>251</v>
      </c>
      <c r="F506" s="61">
        <f>G506+H506+I506+J506+K506+L506+M506+N506</f>
        <v>-11458.643</v>
      </c>
      <c r="G506" s="452"/>
      <c r="H506" s="142"/>
      <c r="I506" s="462"/>
      <c r="J506" s="90">
        <v>-11458.643</v>
      </c>
      <c r="K506" s="94"/>
      <c r="L506" s="474"/>
      <c r="M506" s="482"/>
      <c r="N506" s="494"/>
    </row>
    <row r="507" spans="1:14" ht="12.75">
      <c r="A507" s="63"/>
      <c r="B507" s="83" t="s">
        <v>1063</v>
      </c>
      <c r="C507" s="59"/>
      <c r="D507" s="1"/>
      <c r="E507" s="16" t="s">
        <v>1065</v>
      </c>
      <c r="F507" s="61">
        <f>F508+F515</f>
        <v>85</v>
      </c>
      <c r="G507" s="451">
        <f aca="true" t="shared" si="186" ref="G507:N507">G508+G515</f>
        <v>219.032</v>
      </c>
      <c r="H507" s="141">
        <f t="shared" si="186"/>
        <v>0</v>
      </c>
      <c r="I507" s="461">
        <f t="shared" si="186"/>
        <v>0</v>
      </c>
      <c r="J507" s="89">
        <f t="shared" si="186"/>
        <v>-134.032</v>
      </c>
      <c r="K507" s="93">
        <f t="shared" si="186"/>
        <v>0</v>
      </c>
      <c r="L507" s="471">
        <f t="shared" si="186"/>
        <v>0</v>
      </c>
      <c r="M507" s="481">
        <f t="shared" si="186"/>
        <v>0</v>
      </c>
      <c r="N507" s="491">
        <f t="shared" si="186"/>
        <v>0</v>
      </c>
    </row>
    <row r="508" spans="1:14" ht="25.5">
      <c r="A508" s="63"/>
      <c r="B508" s="83"/>
      <c r="C508" s="59" t="s">
        <v>28</v>
      </c>
      <c r="D508" s="1"/>
      <c r="E508" s="2" t="s">
        <v>29</v>
      </c>
      <c r="F508" s="61">
        <f>F509</f>
        <v>219.032</v>
      </c>
      <c r="G508" s="451">
        <f aca="true" t="shared" si="187" ref="G508:N509">G509</f>
        <v>219.032</v>
      </c>
      <c r="H508" s="141">
        <f t="shared" si="187"/>
        <v>0</v>
      </c>
      <c r="I508" s="461">
        <f t="shared" si="187"/>
        <v>0</v>
      </c>
      <c r="J508" s="89">
        <f t="shared" si="187"/>
        <v>0</v>
      </c>
      <c r="K508" s="93">
        <f t="shared" si="187"/>
        <v>0</v>
      </c>
      <c r="L508" s="471">
        <f t="shared" si="187"/>
        <v>0</v>
      </c>
      <c r="M508" s="481">
        <f t="shared" si="187"/>
        <v>0</v>
      </c>
      <c r="N508" s="491">
        <f t="shared" si="187"/>
        <v>0</v>
      </c>
    </row>
    <row r="509" spans="1:14" ht="12.75">
      <c r="A509" s="63"/>
      <c r="B509" s="83"/>
      <c r="C509" s="59" t="s">
        <v>30</v>
      </c>
      <c r="D509" s="1"/>
      <c r="E509" s="2" t="s">
        <v>31</v>
      </c>
      <c r="F509" s="61">
        <f>F510</f>
        <v>219.032</v>
      </c>
      <c r="G509" s="451">
        <f t="shared" si="187"/>
        <v>219.032</v>
      </c>
      <c r="H509" s="141">
        <f t="shared" si="187"/>
        <v>0</v>
      </c>
      <c r="I509" s="461">
        <f t="shared" si="187"/>
        <v>0</v>
      </c>
      <c r="J509" s="89">
        <f t="shared" si="187"/>
        <v>0</v>
      </c>
      <c r="K509" s="93">
        <f t="shared" si="187"/>
        <v>0</v>
      </c>
      <c r="L509" s="471">
        <f t="shared" si="187"/>
        <v>0</v>
      </c>
      <c r="M509" s="481">
        <f t="shared" si="187"/>
        <v>0</v>
      </c>
      <c r="N509" s="491">
        <f t="shared" si="187"/>
        <v>0</v>
      </c>
    </row>
    <row r="510" spans="1:14" ht="12.75">
      <c r="A510" s="63"/>
      <c r="B510" s="83"/>
      <c r="C510" s="59" t="s">
        <v>32</v>
      </c>
      <c r="D510" s="1"/>
      <c r="E510" s="2" t="s">
        <v>33</v>
      </c>
      <c r="F510" s="61">
        <f>F511+F513</f>
        <v>219.032</v>
      </c>
      <c r="G510" s="451">
        <f aca="true" t="shared" si="188" ref="G510:N510">G511+G513</f>
        <v>219.032</v>
      </c>
      <c r="H510" s="141">
        <f t="shared" si="188"/>
        <v>0</v>
      </c>
      <c r="I510" s="461">
        <f t="shared" si="188"/>
        <v>0</v>
      </c>
      <c r="J510" s="89">
        <f t="shared" si="188"/>
        <v>0</v>
      </c>
      <c r="K510" s="93">
        <f t="shared" si="188"/>
        <v>0</v>
      </c>
      <c r="L510" s="471">
        <f t="shared" si="188"/>
        <v>0</v>
      </c>
      <c r="M510" s="481">
        <f t="shared" si="188"/>
        <v>0</v>
      </c>
      <c r="N510" s="491">
        <f t="shared" si="188"/>
        <v>0</v>
      </c>
    </row>
    <row r="511" spans="1:14" ht="38.25">
      <c r="A511" s="63"/>
      <c r="B511" s="83"/>
      <c r="C511" s="59"/>
      <c r="D511" s="1" t="s">
        <v>227</v>
      </c>
      <c r="E511" s="16" t="s">
        <v>331</v>
      </c>
      <c r="F511" s="61">
        <f>F512</f>
        <v>134.032</v>
      </c>
      <c r="G511" s="451">
        <f aca="true" t="shared" si="189" ref="G511:N511">G512</f>
        <v>134.032</v>
      </c>
      <c r="H511" s="141">
        <f t="shared" si="189"/>
        <v>0</v>
      </c>
      <c r="I511" s="461">
        <f t="shared" si="189"/>
        <v>0</v>
      </c>
      <c r="J511" s="89">
        <f t="shared" si="189"/>
        <v>0</v>
      </c>
      <c r="K511" s="93">
        <f t="shared" si="189"/>
        <v>0</v>
      </c>
      <c r="L511" s="471">
        <f t="shared" si="189"/>
        <v>0</v>
      </c>
      <c r="M511" s="481">
        <f t="shared" si="189"/>
        <v>0</v>
      </c>
      <c r="N511" s="491">
        <f t="shared" si="189"/>
        <v>0</v>
      </c>
    </row>
    <row r="512" spans="1:14" ht="12.75">
      <c r="A512" s="63"/>
      <c r="B512" s="83"/>
      <c r="C512" s="59"/>
      <c r="D512" s="1" t="s">
        <v>121</v>
      </c>
      <c r="E512" s="16" t="s">
        <v>229</v>
      </c>
      <c r="F512" s="61">
        <f>G512+H512+I512+J512+K512+L512+M512+N512</f>
        <v>134.032</v>
      </c>
      <c r="G512" s="451">
        <v>134.032</v>
      </c>
      <c r="H512" s="141"/>
      <c r="I512" s="461"/>
      <c r="J512" s="89"/>
      <c r="K512" s="93"/>
      <c r="L512" s="471"/>
      <c r="M512" s="481"/>
      <c r="N512" s="491"/>
    </row>
    <row r="513" spans="1:14" ht="12.75">
      <c r="A513" s="63"/>
      <c r="B513" s="83"/>
      <c r="C513" s="59"/>
      <c r="D513" s="1" t="s">
        <v>210</v>
      </c>
      <c r="E513" s="16" t="s">
        <v>211</v>
      </c>
      <c r="F513" s="61">
        <f>F514</f>
        <v>85</v>
      </c>
      <c r="G513" s="451">
        <f aca="true" t="shared" si="190" ref="G513:N513">G514</f>
        <v>85</v>
      </c>
      <c r="H513" s="141">
        <f t="shared" si="190"/>
        <v>0</v>
      </c>
      <c r="I513" s="461">
        <f t="shared" si="190"/>
        <v>0</v>
      </c>
      <c r="J513" s="89">
        <f t="shared" si="190"/>
        <v>0</v>
      </c>
      <c r="K513" s="93">
        <f t="shared" si="190"/>
        <v>0</v>
      </c>
      <c r="L513" s="471">
        <f t="shared" si="190"/>
        <v>0</v>
      </c>
      <c r="M513" s="481">
        <f t="shared" si="190"/>
        <v>0</v>
      </c>
      <c r="N513" s="491">
        <f t="shared" si="190"/>
        <v>0</v>
      </c>
    </row>
    <row r="514" spans="1:14" ht="12.75">
      <c r="A514" s="63"/>
      <c r="B514" s="83"/>
      <c r="C514" s="59"/>
      <c r="D514" s="1" t="s">
        <v>8</v>
      </c>
      <c r="E514" s="16" t="s">
        <v>216</v>
      </c>
      <c r="F514" s="61">
        <f>G514+H514+I514+J514+K514+L514+M514+N514</f>
        <v>85</v>
      </c>
      <c r="G514" s="451">
        <v>85</v>
      </c>
      <c r="H514" s="141"/>
      <c r="I514" s="461"/>
      <c r="J514" s="89"/>
      <c r="K514" s="93"/>
      <c r="L514" s="471"/>
      <c r="M514" s="481"/>
      <c r="N514" s="491"/>
    </row>
    <row r="515" spans="1:14" ht="12.75">
      <c r="A515" s="63"/>
      <c r="B515" s="63"/>
      <c r="C515" s="1" t="s">
        <v>37</v>
      </c>
      <c r="D515" s="1"/>
      <c r="E515" s="16" t="s">
        <v>38</v>
      </c>
      <c r="F515" s="61">
        <f>F516</f>
        <v>-134.032</v>
      </c>
      <c r="G515" s="451">
        <f aca="true" t="shared" si="191" ref="G515:N518">G516</f>
        <v>0</v>
      </c>
      <c r="H515" s="141">
        <f t="shared" si="191"/>
        <v>0</v>
      </c>
      <c r="I515" s="461">
        <f t="shared" si="191"/>
        <v>0</v>
      </c>
      <c r="J515" s="89">
        <f t="shared" si="191"/>
        <v>-134.032</v>
      </c>
      <c r="K515" s="93">
        <f t="shared" si="191"/>
        <v>0</v>
      </c>
      <c r="L515" s="471">
        <f t="shared" si="191"/>
        <v>0</v>
      </c>
      <c r="M515" s="481">
        <f t="shared" si="191"/>
        <v>0</v>
      </c>
      <c r="N515" s="491">
        <f t="shared" si="191"/>
        <v>0</v>
      </c>
    </row>
    <row r="516" spans="1:14" ht="25.5">
      <c r="A516" s="63"/>
      <c r="B516" s="63"/>
      <c r="C516" s="59" t="s">
        <v>78</v>
      </c>
      <c r="D516" s="1"/>
      <c r="E516" s="16" t="s">
        <v>79</v>
      </c>
      <c r="F516" s="61">
        <f>F517</f>
        <v>-134.032</v>
      </c>
      <c r="G516" s="451">
        <f t="shared" si="191"/>
        <v>0</v>
      </c>
      <c r="H516" s="141">
        <f t="shared" si="191"/>
        <v>0</v>
      </c>
      <c r="I516" s="461">
        <f t="shared" si="191"/>
        <v>0</v>
      </c>
      <c r="J516" s="89">
        <f t="shared" si="191"/>
        <v>-134.032</v>
      </c>
      <c r="K516" s="93">
        <f t="shared" si="191"/>
        <v>0</v>
      </c>
      <c r="L516" s="471">
        <f t="shared" si="191"/>
        <v>0</v>
      </c>
      <c r="M516" s="481">
        <f t="shared" si="191"/>
        <v>0</v>
      </c>
      <c r="N516" s="491">
        <f t="shared" si="191"/>
        <v>0</v>
      </c>
    </row>
    <row r="517" spans="1:14" ht="12.75">
      <c r="A517" s="63"/>
      <c r="B517" s="63"/>
      <c r="C517" s="1" t="s">
        <v>258</v>
      </c>
      <c r="D517" s="1"/>
      <c r="E517" s="16" t="s">
        <v>142</v>
      </c>
      <c r="F517" s="61">
        <f>F518</f>
        <v>-134.032</v>
      </c>
      <c r="G517" s="451">
        <f t="shared" si="191"/>
        <v>0</v>
      </c>
      <c r="H517" s="141">
        <f t="shared" si="191"/>
        <v>0</v>
      </c>
      <c r="I517" s="461">
        <f t="shared" si="191"/>
        <v>0</v>
      </c>
      <c r="J517" s="89">
        <f t="shared" si="191"/>
        <v>-134.032</v>
      </c>
      <c r="K517" s="93">
        <f t="shared" si="191"/>
        <v>0</v>
      </c>
      <c r="L517" s="471">
        <f t="shared" si="191"/>
        <v>0</v>
      </c>
      <c r="M517" s="481">
        <f t="shared" si="191"/>
        <v>0</v>
      </c>
      <c r="N517" s="491">
        <f t="shared" si="191"/>
        <v>0</v>
      </c>
    </row>
    <row r="518" spans="1:14" ht="38.25">
      <c r="A518" s="63"/>
      <c r="B518" s="63"/>
      <c r="C518" s="59"/>
      <c r="D518" s="1" t="s">
        <v>227</v>
      </c>
      <c r="E518" s="16" t="s">
        <v>331</v>
      </c>
      <c r="F518" s="61">
        <f>F519</f>
        <v>-134.032</v>
      </c>
      <c r="G518" s="451">
        <f t="shared" si="191"/>
        <v>0</v>
      </c>
      <c r="H518" s="141">
        <f t="shared" si="191"/>
        <v>0</v>
      </c>
      <c r="I518" s="461">
        <f t="shared" si="191"/>
        <v>0</v>
      </c>
      <c r="J518" s="89">
        <f t="shared" si="191"/>
        <v>-134.032</v>
      </c>
      <c r="K518" s="93">
        <f t="shared" si="191"/>
        <v>0</v>
      </c>
      <c r="L518" s="471">
        <f t="shared" si="191"/>
        <v>0</v>
      </c>
      <c r="M518" s="481">
        <f t="shared" si="191"/>
        <v>0</v>
      </c>
      <c r="N518" s="491">
        <f t="shared" si="191"/>
        <v>0</v>
      </c>
    </row>
    <row r="519" spans="1:14" ht="12.75">
      <c r="A519" s="63"/>
      <c r="B519" s="63"/>
      <c r="C519" s="59"/>
      <c r="D519" s="1" t="s">
        <v>121</v>
      </c>
      <c r="E519" s="16" t="s">
        <v>229</v>
      </c>
      <c r="F519" s="61">
        <f>G519+H519+I519+J519+K519+L519+M519+N519</f>
        <v>-134.032</v>
      </c>
      <c r="G519" s="452"/>
      <c r="H519" s="142"/>
      <c r="I519" s="462"/>
      <c r="J519" s="90">
        <v>-134.032</v>
      </c>
      <c r="K519" s="94"/>
      <c r="L519" s="474"/>
      <c r="M519" s="482"/>
      <c r="N519" s="494"/>
    </row>
    <row r="520" spans="1:14" ht="25.5">
      <c r="A520" s="10" t="s">
        <v>130</v>
      </c>
      <c r="B520" s="10"/>
      <c r="C520" s="10"/>
      <c r="D520" s="10"/>
      <c r="E520" s="15" t="s">
        <v>266</v>
      </c>
      <c r="F520" s="66">
        <f aca="true" t="shared" si="192" ref="F520:N520">F521+F529+F550+F568</f>
        <v>3423.865</v>
      </c>
      <c r="G520" s="450">
        <f t="shared" si="192"/>
        <v>1931.565</v>
      </c>
      <c r="H520" s="140">
        <f t="shared" si="192"/>
        <v>576.2</v>
      </c>
      <c r="I520" s="460">
        <f t="shared" si="192"/>
        <v>0</v>
      </c>
      <c r="J520" s="88">
        <f t="shared" si="192"/>
        <v>160</v>
      </c>
      <c r="K520" s="92">
        <f t="shared" si="192"/>
        <v>0</v>
      </c>
      <c r="L520" s="470">
        <f t="shared" si="192"/>
        <v>756.1</v>
      </c>
      <c r="M520" s="480">
        <f t="shared" si="192"/>
        <v>0</v>
      </c>
      <c r="N520" s="490">
        <f t="shared" si="192"/>
        <v>0</v>
      </c>
    </row>
    <row r="521" spans="1:14" ht="12.75">
      <c r="A521" s="1"/>
      <c r="B521" s="1" t="s">
        <v>26</v>
      </c>
      <c r="C521" s="1"/>
      <c r="D521" s="1"/>
      <c r="E521" s="2" t="s">
        <v>27</v>
      </c>
      <c r="F521" s="61">
        <f>F522</f>
        <v>250</v>
      </c>
      <c r="G521" s="451">
        <f aca="true" t="shared" si="193" ref="G521:N525">G522</f>
        <v>250</v>
      </c>
      <c r="H521" s="141">
        <f t="shared" si="193"/>
        <v>0</v>
      </c>
      <c r="I521" s="461">
        <f t="shared" si="193"/>
        <v>0</v>
      </c>
      <c r="J521" s="89">
        <f t="shared" si="193"/>
        <v>0</v>
      </c>
      <c r="K521" s="93">
        <f t="shared" si="193"/>
        <v>0</v>
      </c>
      <c r="L521" s="471">
        <f t="shared" si="193"/>
        <v>0</v>
      </c>
      <c r="M521" s="481">
        <f t="shared" si="193"/>
        <v>0</v>
      </c>
      <c r="N521" s="491">
        <f t="shared" si="193"/>
        <v>0</v>
      </c>
    </row>
    <row r="522" spans="1:14" ht="12.75">
      <c r="A522" s="1"/>
      <c r="B522" s="1" t="s">
        <v>80</v>
      </c>
      <c r="C522" s="1"/>
      <c r="D522" s="1"/>
      <c r="E522" s="16" t="s">
        <v>81</v>
      </c>
      <c r="F522" s="61">
        <f>F523</f>
        <v>250</v>
      </c>
      <c r="G522" s="451">
        <f t="shared" si="193"/>
        <v>250</v>
      </c>
      <c r="H522" s="141">
        <f t="shared" si="193"/>
        <v>0</v>
      </c>
      <c r="I522" s="461">
        <f t="shared" si="193"/>
        <v>0</v>
      </c>
      <c r="J522" s="89">
        <f t="shared" si="193"/>
        <v>0</v>
      </c>
      <c r="K522" s="93">
        <f t="shared" si="193"/>
        <v>0</v>
      </c>
      <c r="L522" s="471">
        <f t="shared" si="193"/>
        <v>0</v>
      </c>
      <c r="M522" s="481">
        <f t="shared" si="193"/>
        <v>0</v>
      </c>
      <c r="N522" s="491">
        <f t="shared" si="193"/>
        <v>0</v>
      </c>
    </row>
    <row r="523" spans="1:14" ht="12.75">
      <c r="A523" s="1"/>
      <c r="B523" s="1"/>
      <c r="C523" s="1" t="s">
        <v>82</v>
      </c>
      <c r="D523" s="1"/>
      <c r="E523" s="16" t="s">
        <v>264</v>
      </c>
      <c r="F523" s="61">
        <f>F524</f>
        <v>250</v>
      </c>
      <c r="G523" s="451">
        <f t="shared" si="193"/>
        <v>250</v>
      </c>
      <c r="H523" s="141">
        <f t="shared" si="193"/>
        <v>0</v>
      </c>
      <c r="I523" s="461">
        <f t="shared" si="193"/>
        <v>0</v>
      </c>
      <c r="J523" s="89">
        <f t="shared" si="193"/>
        <v>0</v>
      </c>
      <c r="K523" s="93">
        <f t="shared" si="193"/>
        <v>0</v>
      </c>
      <c r="L523" s="471">
        <f t="shared" si="193"/>
        <v>0</v>
      </c>
      <c r="M523" s="481">
        <f t="shared" si="193"/>
        <v>0</v>
      </c>
      <c r="N523" s="491">
        <f t="shared" si="193"/>
        <v>0</v>
      </c>
    </row>
    <row r="524" spans="1:14" ht="12.75">
      <c r="A524" s="1"/>
      <c r="B524" s="1"/>
      <c r="C524" s="1" t="s">
        <v>84</v>
      </c>
      <c r="D524" s="1"/>
      <c r="E524" s="16" t="s">
        <v>85</v>
      </c>
      <c r="F524" s="61">
        <f>F525</f>
        <v>250</v>
      </c>
      <c r="G524" s="451">
        <f t="shared" si="193"/>
        <v>250</v>
      </c>
      <c r="H524" s="141">
        <f t="shared" si="193"/>
        <v>0</v>
      </c>
      <c r="I524" s="461">
        <f t="shared" si="193"/>
        <v>0</v>
      </c>
      <c r="J524" s="89">
        <f t="shared" si="193"/>
        <v>0</v>
      </c>
      <c r="K524" s="93">
        <f t="shared" si="193"/>
        <v>0</v>
      </c>
      <c r="L524" s="471">
        <f t="shared" si="193"/>
        <v>0</v>
      </c>
      <c r="M524" s="481">
        <f t="shared" si="193"/>
        <v>0</v>
      </c>
      <c r="N524" s="491">
        <f t="shared" si="193"/>
        <v>0</v>
      </c>
    </row>
    <row r="525" spans="1:14" ht="25.5">
      <c r="A525" s="1"/>
      <c r="B525" s="1"/>
      <c r="C525" s="22"/>
      <c r="D525" s="1" t="s">
        <v>232</v>
      </c>
      <c r="E525" s="16" t="s">
        <v>403</v>
      </c>
      <c r="F525" s="61">
        <f>F526</f>
        <v>250</v>
      </c>
      <c r="G525" s="451">
        <f t="shared" si="193"/>
        <v>250</v>
      </c>
      <c r="H525" s="141">
        <f t="shared" si="193"/>
        <v>0</v>
      </c>
      <c r="I525" s="461">
        <f t="shared" si="193"/>
        <v>0</v>
      </c>
      <c r="J525" s="89">
        <f t="shared" si="193"/>
        <v>0</v>
      </c>
      <c r="K525" s="93">
        <f t="shared" si="193"/>
        <v>0</v>
      </c>
      <c r="L525" s="471">
        <f t="shared" si="193"/>
        <v>0</v>
      </c>
      <c r="M525" s="481">
        <f t="shared" si="193"/>
        <v>0</v>
      </c>
      <c r="N525" s="491">
        <f t="shared" si="193"/>
        <v>0</v>
      </c>
    </row>
    <row r="526" spans="1:14" ht="25.5" customHeight="1">
      <c r="A526" s="1"/>
      <c r="B526" s="1"/>
      <c r="C526" s="22"/>
      <c r="D526" s="1" t="s">
        <v>191</v>
      </c>
      <c r="E526" s="16" t="s">
        <v>367</v>
      </c>
      <c r="F526" s="61">
        <f>F527+F528</f>
        <v>250</v>
      </c>
      <c r="G526" s="451">
        <f aca="true" t="shared" si="194" ref="G526:N526">G527+G528</f>
        <v>250</v>
      </c>
      <c r="H526" s="141">
        <f t="shared" si="194"/>
        <v>0</v>
      </c>
      <c r="I526" s="461">
        <f t="shared" si="194"/>
        <v>0</v>
      </c>
      <c r="J526" s="89">
        <f t="shared" si="194"/>
        <v>0</v>
      </c>
      <c r="K526" s="93">
        <f t="shared" si="194"/>
        <v>0</v>
      </c>
      <c r="L526" s="471">
        <f t="shared" si="194"/>
        <v>0</v>
      </c>
      <c r="M526" s="481">
        <f t="shared" si="194"/>
        <v>0</v>
      </c>
      <c r="N526" s="491">
        <f t="shared" si="194"/>
        <v>0</v>
      </c>
    </row>
    <row r="527" spans="1:14" ht="12.75">
      <c r="A527" s="1"/>
      <c r="B527" s="1"/>
      <c r="C527" s="606" t="s">
        <v>400</v>
      </c>
      <c r="D527" s="1"/>
      <c r="E527" s="16" t="s">
        <v>401</v>
      </c>
      <c r="F527" s="61">
        <f>G527+H527+I527+J527+K527+L527+M527+N527</f>
        <v>-250</v>
      </c>
      <c r="G527" s="451">
        <v>-250</v>
      </c>
      <c r="H527" s="141"/>
      <c r="I527" s="461"/>
      <c r="J527" s="89"/>
      <c r="K527" s="93"/>
      <c r="L527" s="471"/>
      <c r="M527" s="481"/>
      <c r="N527" s="491"/>
    </row>
    <row r="528" spans="1:14" ht="12.75">
      <c r="A528" s="1"/>
      <c r="B528" s="1"/>
      <c r="C528" s="607"/>
      <c r="D528" s="1"/>
      <c r="E528" s="16" t="s">
        <v>402</v>
      </c>
      <c r="F528" s="61">
        <f>G528+H528+I528+J528+K528+L528+M528+N528</f>
        <v>500</v>
      </c>
      <c r="G528" s="451">
        <v>500</v>
      </c>
      <c r="H528" s="141"/>
      <c r="I528" s="461"/>
      <c r="J528" s="89"/>
      <c r="K528" s="93"/>
      <c r="L528" s="471"/>
      <c r="M528" s="481"/>
      <c r="N528" s="491"/>
    </row>
    <row r="529" spans="1:14" ht="12.75">
      <c r="A529" s="1"/>
      <c r="B529" s="1" t="s">
        <v>50</v>
      </c>
      <c r="C529" s="1"/>
      <c r="D529" s="1"/>
      <c r="E529" s="16" t="s">
        <v>51</v>
      </c>
      <c r="F529" s="61">
        <f>F530+F544</f>
        <v>1658.5800000000002</v>
      </c>
      <c r="G529" s="451">
        <f aca="true" t="shared" si="195" ref="G529:N529">G530+G544</f>
        <v>922.38</v>
      </c>
      <c r="H529" s="141">
        <f t="shared" si="195"/>
        <v>576.2</v>
      </c>
      <c r="I529" s="461">
        <f t="shared" si="195"/>
        <v>0</v>
      </c>
      <c r="J529" s="89">
        <f t="shared" si="195"/>
        <v>160</v>
      </c>
      <c r="K529" s="93">
        <f t="shared" si="195"/>
        <v>0</v>
      </c>
      <c r="L529" s="471">
        <f t="shared" si="195"/>
        <v>0</v>
      </c>
      <c r="M529" s="481">
        <f t="shared" si="195"/>
        <v>0</v>
      </c>
      <c r="N529" s="491">
        <f t="shared" si="195"/>
        <v>0</v>
      </c>
    </row>
    <row r="530" spans="1:14" ht="12.75">
      <c r="A530" s="1"/>
      <c r="B530" s="1" t="s">
        <v>5</v>
      </c>
      <c r="C530" s="1"/>
      <c r="D530" s="1"/>
      <c r="E530" s="16" t="s">
        <v>53</v>
      </c>
      <c r="F530" s="61">
        <f>F531+F535+F539</f>
        <v>1245.3000000000002</v>
      </c>
      <c r="G530" s="451">
        <f aca="true" t="shared" si="196" ref="G530:N530">G531+G535+G539</f>
        <v>509.1</v>
      </c>
      <c r="H530" s="141">
        <f t="shared" si="196"/>
        <v>576.2</v>
      </c>
      <c r="I530" s="461">
        <f t="shared" si="196"/>
        <v>0</v>
      </c>
      <c r="J530" s="89">
        <f t="shared" si="196"/>
        <v>160</v>
      </c>
      <c r="K530" s="93">
        <f t="shared" si="196"/>
        <v>0</v>
      </c>
      <c r="L530" s="471">
        <f t="shared" si="196"/>
        <v>0</v>
      </c>
      <c r="M530" s="481">
        <f t="shared" si="196"/>
        <v>0</v>
      </c>
      <c r="N530" s="491">
        <f t="shared" si="196"/>
        <v>0</v>
      </c>
    </row>
    <row r="531" spans="1:14" ht="12.75">
      <c r="A531" s="1"/>
      <c r="B531" s="1"/>
      <c r="C531" s="1" t="s">
        <v>356</v>
      </c>
      <c r="D531" s="1"/>
      <c r="E531" s="16" t="s">
        <v>358</v>
      </c>
      <c r="F531" s="61">
        <f>F532</f>
        <v>509.1</v>
      </c>
      <c r="G531" s="451">
        <f aca="true" t="shared" si="197" ref="G531:N533">G532</f>
        <v>509.1</v>
      </c>
      <c r="H531" s="141">
        <f t="shared" si="197"/>
        <v>0</v>
      </c>
      <c r="I531" s="461">
        <f t="shared" si="197"/>
        <v>0</v>
      </c>
      <c r="J531" s="89">
        <f t="shared" si="197"/>
        <v>0</v>
      </c>
      <c r="K531" s="93">
        <f t="shared" si="197"/>
        <v>0</v>
      </c>
      <c r="L531" s="471">
        <f t="shared" si="197"/>
        <v>0</v>
      </c>
      <c r="M531" s="481">
        <f t="shared" si="197"/>
        <v>0</v>
      </c>
      <c r="N531" s="491">
        <f t="shared" si="197"/>
        <v>0</v>
      </c>
    </row>
    <row r="532" spans="1:14" ht="25.5">
      <c r="A532" s="1"/>
      <c r="B532" s="1"/>
      <c r="C532" s="1" t="s">
        <v>357</v>
      </c>
      <c r="D532" s="1"/>
      <c r="E532" s="16" t="s">
        <v>359</v>
      </c>
      <c r="F532" s="61">
        <f>F533</f>
        <v>509.1</v>
      </c>
      <c r="G532" s="451">
        <f t="shared" si="197"/>
        <v>509.1</v>
      </c>
      <c r="H532" s="141">
        <f t="shared" si="197"/>
        <v>0</v>
      </c>
      <c r="I532" s="461">
        <f t="shared" si="197"/>
        <v>0</v>
      </c>
      <c r="J532" s="89">
        <f t="shared" si="197"/>
        <v>0</v>
      </c>
      <c r="K532" s="93">
        <f t="shared" si="197"/>
        <v>0</v>
      </c>
      <c r="L532" s="471">
        <f t="shared" si="197"/>
        <v>0</v>
      </c>
      <c r="M532" s="481">
        <f t="shared" si="197"/>
        <v>0</v>
      </c>
      <c r="N532" s="491">
        <f t="shared" si="197"/>
        <v>0</v>
      </c>
    </row>
    <row r="533" spans="1:14" ht="27" customHeight="1">
      <c r="A533" s="1"/>
      <c r="B533" s="1"/>
      <c r="C533" s="1"/>
      <c r="D533" s="1" t="s">
        <v>232</v>
      </c>
      <c r="E533" s="48" t="s">
        <v>403</v>
      </c>
      <c r="F533" s="61">
        <f>F534</f>
        <v>509.1</v>
      </c>
      <c r="G533" s="451">
        <f t="shared" si="197"/>
        <v>509.1</v>
      </c>
      <c r="H533" s="141">
        <f t="shared" si="197"/>
        <v>0</v>
      </c>
      <c r="I533" s="461">
        <f t="shared" si="197"/>
        <v>0</v>
      </c>
      <c r="J533" s="89">
        <f t="shared" si="197"/>
        <v>0</v>
      </c>
      <c r="K533" s="93">
        <f t="shared" si="197"/>
        <v>0</v>
      </c>
      <c r="L533" s="471">
        <f t="shared" si="197"/>
        <v>0</v>
      </c>
      <c r="M533" s="481">
        <f t="shared" si="197"/>
        <v>0</v>
      </c>
      <c r="N533" s="491">
        <f t="shared" si="197"/>
        <v>0</v>
      </c>
    </row>
    <row r="534" spans="1:14" ht="12.75">
      <c r="A534" s="1"/>
      <c r="B534" s="1"/>
      <c r="C534" s="1"/>
      <c r="D534" s="1" t="s">
        <v>132</v>
      </c>
      <c r="E534" s="16" t="s">
        <v>251</v>
      </c>
      <c r="F534" s="61">
        <f>G534+H534+I534+J534+K534+L534+M534+N534</f>
        <v>509.1</v>
      </c>
      <c r="G534" s="452">
        <v>509.1</v>
      </c>
      <c r="H534" s="142"/>
      <c r="I534" s="462"/>
      <c r="J534" s="90"/>
      <c r="K534" s="94"/>
      <c r="L534" s="474"/>
      <c r="M534" s="482"/>
      <c r="N534" s="494"/>
    </row>
    <row r="535" spans="1:14" ht="12.75">
      <c r="A535" s="1"/>
      <c r="B535" s="1"/>
      <c r="C535" s="1" t="s">
        <v>105</v>
      </c>
      <c r="D535" s="1"/>
      <c r="E535" s="16" t="s">
        <v>106</v>
      </c>
      <c r="F535" s="61">
        <f>F536</f>
        <v>160</v>
      </c>
      <c r="G535" s="451">
        <f aca="true" t="shared" si="198" ref="G535:N537">G536</f>
        <v>0</v>
      </c>
      <c r="H535" s="141">
        <f t="shared" si="198"/>
        <v>0</v>
      </c>
      <c r="I535" s="461">
        <f t="shared" si="198"/>
        <v>0</v>
      </c>
      <c r="J535" s="89">
        <f t="shared" si="198"/>
        <v>160</v>
      </c>
      <c r="K535" s="93">
        <f t="shared" si="198"/>
        <v>0</v>
      </c>
      <c r="L535" s="471">
        <f t="shared" si="198"/>
        <v>0</v>
      </c>
      <c r="M535" s="481">
        <f t="shared" si="198"/>
        <v>0</v>
      </c>
      <c r="N535" s="491">
        <f t="shared" si="198"/>
        <v>0</v>
      </c>
    </row>
    <row r="536" spans="1:14" ht="25.5">
      <c r="A536" s="1"/>
      <c r="B536" s="1"/>
      <c r="C536" s="1" t="s">
        <v>743</v>
      </c>
      <c r="D536" s="1"/>
      <c r="E536" s="16" t="s">
        <v>744</v>
      </c>
      <c r="F536" s="61">
        <f>F537</f>
        <v>160</v>
      </c>
      <c r="G536" s="451">
        <f t="shared" si="198"/>
        <v>0</v>
      </c>
      <c r="H536" s="141">
        <f t="shared" si="198"/>
        <v>0</v>
      </c>
      <c r="I536" s="461">
        <f t="shared" si="198"/>
        <v>0</v>
      </c>
      <c r="J536" s="89">
        <f t="shared" si="198"/>
        <v>160</v>
      </c>
      <c r="K536" s="93">
        <f t="shared" si="198"/>
        <v>0</v>
      </c>
      <c r="L536" s="471">
        <f t="shared" si="198"/>
        <v>0</v>
      </c>
      <c r="M536" s="481">
        <f t="shared" si="198"/>
        <v>0</v>
      </c>
      <c r="N536" s="491">
        <f t="shared" si="198"/>
        <v>0</v>
      </c>
    </row>
    <row r="537" spans="1:14" ht="27" customHeight="1">
      <c r="A537" s="1"/>
      <c r="B537" s="1"/>
      <c r="C537" s="1"/>
      <c r="D537" s="1" t="s">
        <v>232</v>
      </c>
      <c r="E537" s="48" t="s">
        <v>403</v>
      </c>
      <c r="F537" s="61">
        <f>F538</f>
        <v>160</v>
      </c>
      <c r="G537" s="451">
        <f t="shared" si="198"/>
        <v>0</v>
      </c>
      <c r="H537" s="141">
        <f t="shared" si="198"/>
        <v>0</v>
      </c>
      <c r="I537" s="461">
        <f t="shared" si="198"/>
        <v>0</v>
      </c>
      <c r="J537" s="89">
        <f t="shared" si="198"/>
        <v>160</v>
      </c>
      <c r="K537" s="93">
        <f t="shared" si="198"/>
        <v>0</v>
      </c>
      <c r="L537" s="471">
        <f t="shared" si="198"/>
        <v>0</v>
      </c>
      <c r="M537" s="481">
        <f t="shared" si="198"/>
        <v>0</v>
      </c>
      <c r="N537" s="491">
        <f t="shared" si="198"/>
        <v>0</v>
      </c>
    </row>
    <row r="538" spans="1:14" ht="12.75">
      <c r="A538" s="1"/>
      <c r="B538" s="1"/>
      <c r="C538" s="1"/>
      <c r="D538" s="1" t="s">
        <v>132</v>
      </c>
      <c r="E538" s="16" t="s">
        <v>251</v>
      </c>
      <c r="F538" s="61">
        <f>G538+H538+I538+J538+K538+L538+M538+N538</f>
        <v>160</v>
      </c>
      <c r="G538" s="452"/>
      <c r="H538" s="142"/>
      <c r="I538" s="462"/>
      <c r="J538" s="90">
        <v>160</v>
      </c>
      <c r="K538" s="94"/>
      <c r="L538" s="474"/>
      <c r="M538" s="482"/>
      <c r="N538" s="494"/>
    </row>
    <row r="539" spans="1:14" ht="12.75">
      <c r="A539" s="1"/>
      <c r="B539" s="1"/>
      <c r="C539" s="1" t="s">
        <v>54</v>
      </c>
      <c r="D539" s="1"/>
      <c r="E539" s="16" t="s">
        <v>55</v>
      </c>
      <c r="F539" s="61">
        <f>F540</f>
        <v>576.2</v>
      </c>
      <c r="G539" s="451">
        <f aca="true" t="shared" si="199" ref="G539:N542">G540</f>
        <v>0</v>
      </c>
      <c r="H539" s="141">
        <f t="shared" si="199"/>
        <v>576.2</v>
      </c>
      <c r="I539" s="461">
        <f t="shared" si="199"/>
        <v>0</v>
      </c>
      <c r="J539" s="89">
        <f t="shared" si="199"/>
        <v>0</v>
      </c>
      <c r="K539" s="93">
        <f t="shared" si="199"/>
        <v>0</v>
      </c>
      <c r="L539" s="471">
        <f t="shared" si="199"/>
        <v>0</v>
      </c>
      <c r="M539" s="481">
        <f t="shared" si="199"/>
        <v>0</v>
      </c>
      <c r="N539" s="491">
        <f t="shared" si="199"/>
        <v>0</v>
      </c>
    </row>
    <row r="540" spans="1:14" ht="12.75">
      <c r="A540" s="1"/>
      <c r="B540" s="1"/>
      <c r="C540" s="1" t="s">
        <v>56</v>
      </c>
      <c r="D540" s="1"/>
      <c r="E540" s="16" t="s">
        <v>57</v>
      </c>
      <c r="F540" s="61">
        <f>F541</f>
        <v>576.2</v>
      </c>
      <c r="G540" s="451">
        <f t="shared" si="199"/>
        <v>0</v>
      </c>
      <c r="H540" s="141">
        <f t="shared" si="199"/>
        <v>576.2</v>
      </c>
      <c r="I540" s="461">
        <f t="shared" si="199"/>
        <v>0</v>
      </c>
      <c r="J540" s="89">
        <f t="shared" si="199"/>
        <v>0</v>
      </c>
      <c r="K540" s="93">
        <f t="shared" si="199"/>
        <v>0</v>
      </c>
      <c r="L540" s="471">
        <f t="shared" si="199"/>
        <v>0</v>
      </c>
      <c r="M540" s="481">
        <f t="shared" si="199"/>
        <v>0</v>
      </c>
      <c r="N540" s="491">
        <f t="shared" si="199"/>
        <v>0</v>
      </c>
    </row>
    <row r="541" spans="1:14" ht="25.5">
      <c r="A541" s="1"/>
      <c r="B541" s="1"/>
      <c r="C541" s="1" t="s">
        <v>360</v>
      </c>
      <c r="D541" s="1"/>
      <c r="E541" s="16" t="s">
        <v>319</v>
      </c>
      <c r="F541" s="61">
        <f>F542</f>
        <v>576.2</v>
      </c>
      <c r="G541" s="451">
        <f t="shared" si="199"/>
        <v>0</v>
      </c>
      <c r="H541" s="141">
        <f t="shared" si="199"/>
        <v>576.2</v>
      </c>
      <c r="I541" s="461">
        <f t="shared" si="199"/>
        <v>0</v>
      </c>
      <c r="J541" s="89">
        <f t="shared" si="199"/>
        <v>0</v>
      </c>
      <c r="K541" s="93">
        <f t="shared" si="199"/>
        <v>0</v>
      </c>
      <c r="L541" s="471">
        <f t="shared" si="199"/>
        <v>0</v>
      </c>
      <c r="M541" s="481">
        <f t="shared" si="199"/>
        <v>0</v>
      </c>
      <c r="N541" s="491">
        <f t="shared" si="199"/>
        <v>0</v>
      </c>
    </row>
    <row r="542" spans="1:14" ht="28.5" customHeight="1">
      <c r="A542" s="1"/>
      <c r="B542" s="1"/>
      <c r="C542" s="1"/>
      <c r="D542" s="1" t="s">
        <v>232</v>
      </c>
      <c r="E542" s="48" t="s">
        <v>403</v>
      </c>
      <c r="F542" s="61">
        <f>F543</f>
        <v>576.2</v>
      </c>
      <c r="G542" s="451">
        <f t="shared" si="199"/>
        <v>0</v>
      </c>
      <c r="H542" s="141">
        <f t="shared" si="199"/>
        <v>576.2</v>
      </c>
      <c r="I542" s="461">
        <f t="shared" si="199"/>
        <v>0</v>
      </c>
      <c r="J542" s="89">
        <f t="shared" si="199"/>
        <v>0</v>
      </c>
      <c r="K542" s="93">
        <f t="shared" si="199"/>
        <v>0</v>
      </c>
      <c r="L542" s="471">
        <f t="shared" si="199"/>
        <v>0</v>
      </c>
      <c r="M542" s="481">
        <f t="shared" si="199"/>
        <v>0</v>
      </c>
      <c r="N542" s="491">
        <f t="shared" si="199"/>
        <v>0</v>
      </c>
    </row>
    <row r="543" spans="1:14" ht="12.75">
      <c r="A543" s="1"/>
      <c r="B543" s="1"/>
      <c r="C543" s="1"/>
      <c r="D543" s="1" t="s">
        <v>132</v>
      </c>
      <c r="E543" s="16" t="s">
        <v>251</v>
      </c>
      <c r="F543" s="61">
        <f>G543+H543+I543+J543+K543+L543+M543+N543</f>
        <v>576.2</v>
      </c>
      <c r="G543" s="452"/>
      <c r="H543" s="142">
        <f>576.2</f>
        <v>576.2</v>
      </c>
      <c r="I543" s="462"/>
      <c r="J543" s="90"/>
      <c r="K543" s="94"/>
      <c r="L543" s="474"/>
      <c r="M543" s="482"/>
      <c r="N543" s="494"/>
    </row>
    <row r="544" spans="1:14" ht="12.75">
      <c r="A544" s="1"/>
      <c r="B544" s="1" t="s">
        <v>1080</v>
      </c>
      <c r="C544" s="1"/>
      <c r="D544" s="1"/>
      <c r="E544" s="16" t="s">
        <v>1086</v>
      </c>
      <c r="F544" s="61">
        <f>F545</f>
        <v>413.28</v>
      </c>
      <c r="G544" s="451">
        <f aca="true" t="shared" si="200" ref="G544:N548">G545</f>
        <v>413.28</v>
      </c>
      <c r="H544" s="141">
        <f t="shared" si="200"/>
        <v>0</v>
      </c>
      <c r="I544" s="461">
        <f t="shared" si="200"/>
        <v>0</v>
      </c>
      <c r="J544" s="89">
        <f t="shared" si="200"/>
        <v>0</v>
      </c>
      <c r="K544" s="93">
        <f t="shared" si="200"/>
        <v>0</v>
      </c>
      <c r="L544" s="471">
        <f t="shared" si="200"/>
        <v>0</v>
      </c>
      <c r="M544" s="481">
        <f t="shared" si="200"/>
        <v>0</v>
      </c>
      <c r="N544" s="491">
        <f t="shared" si="200"/>
        <v>0</v>
      </c>
    </row>
    <row r="545" spans="1:14" ht="12.75">
      <c r="A545" s="1"/>
      <c r="B545" s="1"/>
      <c r="C545" s="1" t="s">
        <v>1082</v>
      </c>
      <c r="D545" s="1"/>
      <c r="E545" s="16" t="s">
        <v>1088</v>
      </c>
      <c r="F545" s="61">
        <f>F546</f>
        <v>413.28</v>
      </c>
      <c r="G545" s="451">
        <f t="shared" si="200"/>
        <v>413.28</v>
      </c>
      <c r="H545" s="141">
        <f t="shared" si="200"/>
        <v>0</v>
      </c>
      <c r="I545" s="461">
        <f t="shared" si="200"/>
        <v>0</v>
      </c>
      <c r="J545" s="89">
        <f t="shared" si="200"/>
        <v>0</v>
      </c>
      <c r="K545" s="93">
        <f t="shared" si="200"/>
        <v>0</v>
      </c>
      <c r="L545" s="471">
        <f t="shared" si="200"/>
        <v>0</v>
      </c>
      <c r="M545" s="481">
        <f t="shared" si="200"/>
        <v>0</v>
      </c>
      <c r="N545" s="491">
        <f t="shared" si="200"/>
        <v>0</v>
      </c>
    </row>
    <row r="546" spans="1:14" ht="12.75">
      <c r="A546" s="1"/>
      <c r="B546" s="1"/>
      <c r="C546" s="1" t="s">
        <v>1083</v>
      </c>
      <c r="D546" s="1"/>
      <c r="E546" s="16" t="s">
        <v>1089</v>
      </c>
      <c r="F546" s="61">
        <f>F547</f>
        <v>413.28</v>
      </c>
      <c r="G546" s="451">
        <f t="shared" si="200"/>
        <v>413.28</v>
      </c>
      <c r="H546" s="141">
        <f t="shared" si="200"/>
        <v>0</v>
      </c>
      <c r="I546" s="461">
        <f t="shared" si="200"/>
        <v>0</v>
      </c>
      <c r="J546" s="89">
        <f t="shared" si="200"/>
        <v>0</v>
      </c>
      <c r="K546" s="93">
        <f t="shared" si="200"/>
        <v>0</v>
      </c>
      <c r="L546" s="471">
        <f t="shared" si="200"/>
        <v>0</v>
      </c>
      <c r="M546" s="481">
        <f t="shared" si="200"/>
        <v>0</v>
      </c>
      <c r="N546" s="491">
        <f t="shared" si="200"/>
        <v>0</v>
      </c>
    </row>
    <row r="547" spans="1:14" ht="12.75">
      <c r="A547" s="1"/>
      <c r="B547" s="1"/>
      <c r="C547" s="1" t="s">
        <v>1084</v>
      </c>
      <c r="D547" s="1"/>
      <c r="E547" s="16" t="s">
        <v>1089</v>
      </c>
      <c r="F547" s="61">
        <f>F548</f>
        <v>413.28</v>
      </c>
      <c r="G547" s="451">
        <f t="shared" si="200"/>
        <v>413.28</v>
      </c>
      <c r="H547" s="141">
        <f t="shared" si="200"/>
        <v>0</v>
      </c>
      <c r="I547" s="461">
        <f t="shared" si="200"/>
        <v>0</v>
      </c>
      <c r="J547" s="89">
        <f t="shared" si="200"/>
        <v>0</v>
      </c>
      <c r="K547" s="93">
        <f t="shared" si="200"/>
        <v>0</v>
      </c>
      <c r="L547" s="471">
        <f t="shared" si="200"/>
        <v>0</v>
      </c>
      <c r="M547" s="481">
        <f t="shared" si="200"/>
        <v>0</v>
      </c>
      <c r="N547" s="491">
        <f t="shared" si="200"/>
        <v>0</v>
      </c>
    </row>
    <row r="548" spans="1:14" ht="25.5" customHeight="1">
      <c r="A548" s="1"/>
      <c r="B548" s="1"/>
      <c r="C548" s="1"/>
      <c r="D548" s="1" t="s">
        <v>232</v>
      </c>
      <c r="E548" s="48" t="s">
        <v>403</v>
      </c>
      <c r="F548" s="61">
        <f>F549</f>
        <v>413.28</v>
      </c>
      <c r="G548" s="451">
        <f t="shared" si="200"/>
        <v>413.28</v>
      </c>
      <c r="H548" s="141">
        <f t="shared" si="200"/>
        <v>0</v>
      </c>
      <c r="I548" s="461">
        <f t="shared" si="200"/>
        <v>0</v>
      </c>
      <c r="J548" s="89">
        <f t="shared" si="200"/>
        <v>0</v>
      </c>
      <c r="K548" s="93">
        <f t="shared" si="200"/>
        <v>0</v>
      </c>
      <c r="L548" s="471">
        <f t="shared" si="200"/>
        <v>0</v>
      </c>
      <c r="M548" s="481">
        <f t="shared" si="200"/>
        <v>0</v>
      </c>
      <c r="N548" s="491">
        <f t="shared" si="200"/>
        <v>0</v>
      </c>
    </row>
    <row r="549" spans="1:14" ht="12.75">
      <c r="A549" s="1"/>
      <c r="B549" s="1"/>
      <c r="C549" s="1"/>
      <c r="D549" s="1" t="s">
        <v>132</v>
      </c>
      <c r="E549" s="16" t="s">
        <v>251</v>
      </c>
      <c r="F549" s="61">
        <f>G549+H549+I549+J549+K549+L549+M549+N549</f>
        <v>413.28</v>
      </c>
      <c r="G549" s="452">
        <v>413.28</v>
      </c>
      <c r="H549" s="142"/>
      <c r="I549" s="462"/>
      <c r="J549" s="90"/>
      <c r="K549" s="94"/>
      <c r="L549" s="474"/>
      <c r="M549" s="482"/>
      <c r="N549" s="494"/>
    </row>
    <row r="550" spans="1:14" ht="12.75">
      <c r="A550" s="10"/>
      <c r="B550" s="1" t="s">
        <v>59</v>
      </c>
      <c r="C550" s="1"/>
      <c r="D550" s="1"/>
      <c r="E550" s="16" t="s">
        <v>267</v>
      </c>
      <c r="F550" s="61">
        <f>G550+H550+I550+J550+K550+L550+M550+N550</f>
        <v>1515.2849999999999</v>
      </c>
      <c r="G550" s="452">
        <f aca="true" t="shared" si="201" ref="G550:N550">G551</f>
        <v>759.185</v>
      </c>
      <c r="H550" s="142">
        <f t="shared" si="201"/>
        <v>0</v>
      </c>
      <c r="I550" s="462">
        <f t="shared" si="201"/>
        <v>0</v>
      </c>
      <c r="J550" s="90">
        <f t="shared" si="201"/>
        <v>0</v>
      </c>
      <c r="K550" s="94">
        <f t="shared" si="201"/>
        <v>0</v>
      </c>
      <c r="L550" s="474">
        <f t="shared" si="201"/>
        <v>756.1</v>
      </c>
      <c r="M550" s="482">
        <f t="shared" si="201"/>
        <v>0</v>
      </c>
      <c r="N550" s="494">
        <f t="shared" si="201"/>
        <v>0</v>
      </c>
    </row>
    <row r="551" spans="1:14" ht="12.75">
      <c r="A551" s="10"/>
      <c r="B551" s="1" t="s">
        <v>1</v>
      </c>
      <c r="C551" s="1"/>
      <c r="D551" s="1"/>
      <c r="E551" s="16" t="s">
        <v>221</v>
      </c>
      <c r="F551" s="61">
        <f>F552+F556+F561</f>
        <v>1515.2849999999999</v>
      </c>
      <c r="G551" s="451">
        <f aca="true" t="shared" si="202" ref="G551:N551">G552+G556+G561</f>
        <v>759.185</v>
      </c>
      <c r="H551" s="141">
        <f t="shared" si="202"/>
        <v>0</v>
      </c>
      <c r="I551" s="461">
        <f t="shared" si="202"/>
        <v>0</v>
      </c>
      <c r="J551" s="89">
        <f t="shared" si="202"/>
        <v>0</v>
      </c>
      <c r="K551" s="93">
        <f t="shared" si="202"/>
        <v>0</v>
      </c>
      <c r="L551" s="471">
        <f t="shared" si="202"/>
        <v>756.1</v>
      </c>
      <c r="M551" s="481">
        <f t="shared" si="202"/>
        <v>0</v>
      </c>
      <c r="N551" s="491">
        <f t="shared" si="202"/>
        <v>0</v>
      </c>
    </row>
    <row r="552" spans="1:14" ht="12.75">
      <c r="A552" s="10"/>
      <c r="B552" s="1"/>
      <c r="C552" s="1" t="s">
        <v>404</v>
      </c>
      <c r="D552" s="1"/>
      <c r="E552" s="16" t="s">
        <v>406</v>
      </c>
      <c r="F552" s="61">
        <f>F553</f>
        <v>441.9</v>
      </c>
      <c r="G552" s="451">
        <f aca="true" t="shared" si="203" ref="G552:N554">G553</f>
        <v>441.9</v>
      </c>
      <c r="H552" s="141">
        <f t="shared" si="203"/>
        <v>0</v>
      </c>
      <c r="I552" s="461">
        <f t="shared" si="203"/>
        <v>0</v>
      </c>
      <c r="J552" s="89">
        <f t="shared" si="203"/>
        <v>0</v>
      </c>
      <c r="K552" s="93">
        <f t="shared" si="203"/>
        <v>0</v>
      </c>
      <c r="L552" s="471">
        <f t="shared" si="203"/>
        <v>0</v>
      </c>
      <c r="M552" s="481">
        <f t="shared" si="203"/>
        <v>0</v>
      </c>
      <c r="N552" s="491">
        <f t="shared" si="203"/>
        <v>0</v>
      </c>
    </row>
    <row r="553" spans="1:14" ht="36.75" customHeight="1">
      <c r="A553" s="10"/>
      <c r="B553" s="1"/>
      <c r="C553" s="1" t="s">
        <v>405</v>
      </c>
      <c r="D553" s="1"/>
      <c r="E553" s="16" t="s">
        <v>407</v>
      </c>
      <c r="F553" s="61">
        <f>F554</f>
        <v>441.9</v>
      </c>
      <c r="G553" s="451">
        <f t="shared" si="203"/>
        <v>441.9</v>
      </c>
      <c r="H553" s="141">
        <f t="shared" si="203"/>
        <v>0</v>
      </c>
      <c r="I553" s="461">
        <f t="shared" si="203"/>
        <v>0</v>
      </c>
      <c r="J553" s="89">
        <f t="shared" si="203"/>
        <v>0</v>
      </c>
      <c r="K553" s="93">
        <f t="shared" si="203"/>
        <v>0</v>
      </c>
      <c r="L553" s="471">
        <f t="shared" si="203"/>
        <v>0</v>
      </c>
      <c r="M553" s="481">
        <f t="shared" si="203"/>
        <v>0</v>
      </c>
      <c r="N553" s="491">
        <f t="shared" si="203"/>
        <v>0</v>
      </c>
    </row>
    <row r="554" spans="1:14" ht="27" customHeight="1">
      <c r="A554" s="10"/>
      <c r="B554" s="1"/>
      <c r="C554" s="1"/>
      <c r="D554" s="1" t="s">
        <v>232</v>
      </c>
      <c r="E554" s="48" t="s">
        <v>403</v>
      </c>
      <c r="F554" s="61">
        <f>F555</f>
        <v>441.9</v>
      </c>
      <c r="G554" s="451">
        <f t="shared" si="203"/>
        <v>441.9</v>
      </c>
      <c r="H554" s="141">
        <f t="shared" si="203"/>
        <v>0</v>
      </c>
      <c r="I554" s="461">
        <f t="shared" si="203"/>
        <v>0</v>
      </c>
      <c r="J554" s="89">
        <f t="shared" si="203"/>
        <v>0</v>
      </c>
      <c r="K554" s="93">
        <f t="shared" si="203"/>
        <v>0</v>
      </c>
      <c r="L554" s="471">
        <f t="shared" si="203"/>
        <v>0</v>
      </c>
      <c r="M554" s="481">
        <f t="shared" si="203"/>
        <v>0</v>
      </c>
      <c r="N554" s="491">
        <f t="shared" si="203"/>
        <v>0</v>
      </c>
    </row>
    <row r="555" spans="1:14" ht="12.75">
      <c r="A555" s="10"/>
      <c r="B555" s="1"/>
      <c r="C555" s="1"/>
      <c r="D555" s="1" t="s">
        <v>132</v>
      </c>
      <c r="E555" s="16" t="s">
        <v>251</v>
      </c>
      <c r="F555" s="61">
        <f aca="true" t="shared" si="204" ref="F555:F576">G555+H555+I555+J555+K555+L555+M555+N555</f>
        <v>441.9</v>
      </c>
      <c r="G555" s="452">
        <v>441.9</v>
      </c>
      <c r="H555" s="142"/>
      <c r="I555" s="462"/>
      <c r="J555" s="90"/>
      <c r="K555" s="94"/>
      <c r="L555" s="474"/>
      <c r="M555" s="482"/>
      <c r="N555" s="494"/>
    </row>
    <row r="556" spans="1:14" ht="12.75">
      <c r="A556" s="10"/>
      <c r="B556" s="1"/>
      <c r="C556" s="1" t="s">
        <v>255</v>
      </c>
      <c r="D556" s="1"/>
      <c r="E556" s="16" t="s">
        <v>187</v>
      </c>
      <c r="F556" s="61">
        <f>F557</f>
        <v>317.285</v>
      </c>
      <c r="G556" s="451">
        <f aca="true" t="shared" si="205" ref="G556:N559">G557</f>
        <v>317.285</v>
      </c>
      <c r="H556" s="141">
        <f t="shared" si="205"/>
        <v>0</v>
      </c>
      <c r="I556" s="461">
        <f t="shared" si="205"/>
        <v>0</v>
      </c>
      <c r="J556" s="89">
        <f t="shared" si="205"/>
        <v>0</v>
      </c>
      <c r="K556" s="93">
        <f t="shared" si="205"/>
        <v>0</v>
      </c>
      <c r="L556" s="471">
        <f t="shared" si="205"/>
        <v>0</v>
      </c>
      <c r="M556" s="481">
        <f t="shared" si="205"/>
        <v>0</v>
      </c>
      <c r="N556" s="491">
        <f t="shared" si="205"/>
        <v>0</v>
      </c>
    </row>
    <row r="557" spans="1:14" ht="12.75">
      <c r="A557" s="10"/>
      <c r="B557" s="1"/>
      <c r="C557" s="1" t="s">
        <v>256</v>
      </c>
      <c r="D557" s="1"/>
      <c r="E557" s="16" t="s">
        <v>187</v>
      </c>
      <c r="F557" s="61">
        <f>F558</f>
        <v>317.285</v>
      </c>
      <c r="G557" s="451">
        <f t="shared" si="205"/>
        <v>317.285</v>
      </c>
      <c r="H557" s="141">
        <f t="shared" si="205"/>
        <v>0</v>
      </c>
      <c r="I557" s="461">
        <f t="shared" si="205"/>
        <v>0</v>
      </c>
      <c r="J557" s="89">
        <f t="shared" si="205"/>
        <v>0</v>
      </c>
      <c r="K557" s="93">
        <f t="shared" si="205"/>
        <v>0</v>
      </c>
      <c r="L557" s="471">
        <f t="shared" si="205"/>
        <v>0</v>
      </c>
      <c r="M557" s="481">
        <f t="shared" si="205"/>
        <v>0</v>
      </c>
      <c r="N557" s="491">
        <f t="shared" si="205"/>
        <v>0</v>
      </c>
    </row>
    <row r="558" spans="1:14" ht="12.75">
      <c r="A558" s="10"/>
      <c r="B558" s="1"/>
      <c r="C558" s="1" t="s">
        <v>257</v>
      </c>
      <c r="D558" s="1"/>
      <c r="E558" s="16" t="s">
        <v>187</v>
      </c>
      <c r="F558" s="61">
        <f>F559</f>
        <v>317.285</v>
      </c>
      <c r="G558" s="451">
        <f t="shared" si="205"/>
        <v>317.285</v>
      </c>
      <c r="H558" s="141">
        <f t="shared" si="205"/>
        <v>0</v>
      </c>
      <c r="I558" s="461">
        <f t="shared" si="205"/>
        <v>0</v>
      </c>
      <c r="J558" s="89">
        <f t="shared" si="205"/>
        <v>0</v>
      </c>
      <c r="K558" s="93">
        <f t="shared" si="205"/>
        <v>0</v>
      </c>
      <c r="L558" s="471">
        <f t="shared" si="205"/>
        <v>0</v>
      </c>
      <c r="M558" s="481">
        <f t="shared" si="205"/>
        <v>0</v>
      </c>
      <c r="N558" s="491">
        <f t="shared" si="205"/>
        <v>0</v>
      </c>
    </row>
    <row r="559" spans="1:14" ht="12.75">
      <c r="A559" s="10"/>
      <c r="B559" s="1"/>
      <c r="C559" s="1"/>
      <c r="D559" s="1" t="s">
        <v>210</v>
      </c>
      <c r="E559" s="16" t="s">
        <v>211</v>
      </c>
      <c r="F559" s="61">
        <f>F560</f>
        <v>317.285</v>
      </c>
      <c r="G559" s="451">
        <f t="shared" si="205"/>
        <v>317.285</v>
      </c>
      <c r="H559" s="141">
        <f t="shared" si="205"/>
        <v>0</v>
      </c>
      <c r="I559" s="461">
        <f t="shared" si="205"/>
        <v>0</v>
      </c>
      <c r="J559" s="89">
        <f t="shared" si="205"/>
        <v>0</v>
      </c>
      <c r="K559" s="93">
        <f t="shared" si="205"/>
        <v>0</v>
      </c>
      <c r="L559" s="471">
        <f t="shared" si="205"/>
        <v>0</v>
      </c>
      <c r="M559" s="481">
        <f t="shared" si="205"/>
        <v>0</v>
      </c>
      <c r="N559" s="491">
        <f t="shared" si="205"/>
        <v>0</v>
      </c>
    </row>
    <row r="560" spans="1:14" ht="12.75">
      <c r="A560" s="10"/>
      <c r="B560" s="1"/>
      <c r="C560" s="1"/>
      <c r="D560" s="1" t="s">
        <v>8</v>
      </c>
      <c r="E560" s="16" t="s">
        <v>216</v>
      </c>
      <c r="F560" s="61">
        <f t="shared" si="204"/>
        <v>317.285</v>
      </c>
      <c r="G560" s="452">
        <v>317.285</v>
      </c>
      <c r="H560" s="142"/>
      <c r="I560" s="462"/>
      <c r="J560" s="90"/>
      <c r="K560" s="94"/>
      <c r="L560" s="474"/>
      <c r="M560" s="482"/>
      <c r="N560" s="494"/>
    </row>
    <row r="561" spans="1:14" ht="12.75">
      <c r="A561" s="63"/>
      <c r="B561" s="63"/>
      <c r="C561" s="1" t="s">
        <v>37</v>
      </c>
      <c r="D561" s="1"/>
      <c r="E561" s="16" t="s">
        <v>38</v>
      </c>
      <c r="F561" s="61">
        <f t="shared" si="204"/>
        <v>756.1</v>
      </c>
      <c r="G561" s="452">
        <f aca="true" t="shared" si="206" ref="G561:N562">G562</f>
        <v>0</v>
      </c>
      <c r="H561" s="142">
        <f t="shared" si="206"/>
        <v>0</v>
      </c>
      <c r="I561" s="462">
        <f t="shared" si="206"/>
        <v>0</v>
      </c>
      <c r="J561" s="90">
        <f t="shared" si="206"/>
        <v>0</v>
      </c>
      <c r="K561" s="94">
        <f t="shared" si="206"/>
        <v>0</v>
      </c>
      <c r="L561" s="474">
        <f t="shared" si="206"/>
        <v>756.1</v>
      </c>
      <c r="M561" s="482">
        <f t="shared" si="206"/>
        <v>0</v>
      </c>
      <c r="N561" s="494">
        <f t="shared" si="206"/>
        <v>0</v>
      </c>
    </row>
    <row r="562" spans="1:14" ht="25.5">
      <c r="A562" s="63"/>
      <c r="B562" s="63"/>
      <c r="C562" s="1" t="s">
        <v>209</v>
      </c>
      <c r="D562" s="1"/>
      <c r="E562" s="16" t="s">
        <v>3</v>
      </c>
      <c r="F562" s="61">
        <f t="shared" si="204"/>
        <v>756.1</v>
      </c>
      <c r="G562" s="452">
        <f t="shared" si="206"/>
        <v>0</v>
      </c>
      <c r="H562" s="142">
        <f t="shared" si="206"/>
        <v>0</v>
      </c>
      <c r="I562" s="462">
        <f t="shared" si="206"/>
        <v>0</v>
      </c>
      <c r="J562" s="90">
        <f t="shared" si="206"/>
        <v>0</v>
      </c>
      <c r="K562" s="94">
        <f t="shared" si="206"/>
        <v>0</v>
      </c>
      <c r="L562" s="474">
        <f t="shared" si="206"/>
        <v>756.1</v>
      </c>
      <c r="M562" s="482">
        <f t="shared" si="206"/>
        <v>0</v>
      </c>
      <c r="N562" s="494">
        <f t="shared" si="206"/>
        <v>0</v>
      </c>
    </row>
    <row r="563" spans="1:14" ht="12.75">
      <c r="A563" s="63"/>
      <c r="B563" s="63"/>
      <c r="C563" s="59" t="s">
        <v>177</v>
      </c>
      <c r="D563" s="1"/>
      <c r="E563" s="16" t="s">
        <v>166</v>
      </c>
      <c r="F563" s="61">
        <f t="shared" si="204"/>
        <v>756.1</v>
      </c>
      <c r="G563" s="452">
        <f>G564+G566</f>
        <v>0</v>
      </c>
      <c r="H563" s="142">
        <f aca="true" t="shared" si="207" ref="H563:N563">H564+H566</f>
        <v>0</v>
      </c>
      <c r="I563" s="462">
        <f t="shared" si="207"/>
        <v>0</v>
      </c>
      <c r="J563" s="90">
        <f t="shared" si="207"/>
        <v>0</v>
      </c>
      <c r="K563" s="94">
        <f t="shared" si="207"/>
        <v>0</v>
      </c>
      <c r="L563" s="474">
        <f t="shared" si="207"/>
        <v>756.1</v>
      </c>
      <c r="M563" s="482">
        <f t="shared" si="207"/>
        <v>0</v>
      </c>
      <c r="N563" s="494">
        <f t="shared" si="207"/>
        <v>0</v>
      </c>
    </row>
    <row r="564" spans="1:14" ht="12.75">
      <c r="A564" s="63"/>
      <c r="B564" s="63"/>
      <c r="C564" s="59"/>
      <c r="D564" s="1" t="s">
        <v>210</v>
      </c>
      <c r="E564" s="16" t="s">
        <v>211</v>
      </c>
      <c r="F564" s="61">
        <f t="shared" si="204"/>
        <v>156.1</v>
      </c>
      <c r="G564" s="452">
        <f aca="true" t="shared" si="208" ref="G564:N564">G565</f>
        <v>0</v>
      </c>
      <c r="H564" s="142">
        <f t="shared" si="208"/>
        <v>0</v>
      </c>
      <c r="I564" s="462">
        <f t="shared" si="208"/>
        <v>0</v>
      </c>
      <c r="J564" s="90">
        <f t="shared" si="208"/>
        <v>0</v>
      </c>
      <c r="K564" s="94">
        <f t="shared" si="208"/>
        <v>0</v>
      </c>
      <c r="L564" s="474">
        <f t="shared" si="208"/>
        <v>156.1</v>
      </c>
      <c r="M564" s="482">
        <f t="shared" si="208"/>
        <v>0</v>
      </c>
      <c r="N564" s="494">
        <f t="shared" si="208"/>
        <v>0</v>
      </c>
    </row>
    <row r="565" spans="1:14" ht="12.75">
      <c r="A565" s="63"/>
      <c r="B565" s="63"/>
      <c r="C565" s="59"/>
      <c r="D565" s="1" t="s">
        <v>8</v>
      </c>
      <c r="E565" s="16" t="s">
        <v>216</v>
      </c>
      <c r="F565" s="61">
        <f t="shared" si="204"/>
        <v>156.1</v>
      </c>
      <c r="G565" s="452"/>
      <c r="H565" s="142"/>
      <c r="I565" s="462"/>
      <c r="J565" s="90"/>
      <c r="K565" s="94"/>
      <c r="L565" s="474">
        <v>156.1</v>
      </c>
      <c r="M565" s="482"/>
      <c r="N565" s="494"/>
    </row>
    <row r="566" spans="1:14" ht="12.75">
      <c r="A566" s="63"/>
      <c r="B566" s="63"/>
      <c r="C566" s="59"/>
      <c r="D566" s="1" t="s">
        <v>71</v>
      </c>
      <c r="E566" s="16" t="s">
        <v>38</v>
      </c>
      <c r="F566" s="61">
        <f t="shared" si="204"/>
        <v>600</v>
      </c>
      <c r="G566" s="452">
        <f>G567</f>
        <v>0</v>
      </c>
      <c r="H566" s="142">
        <f aca="true" t="shared" si="209" ref="H566:N566">H567</f>
        <v>0</v>
      </c>
      <c r="I566" s="462">
        <f t="shared" si="209"/>
        <v>0</v>
      </c>
      <c r="J566" s="90">
        <f t="shared" si="209"/>
        <v>0</v>
      </c>
      <c r="K566" s="94">
        <f t="shared" si="209"/>
        <v>0</v>
      </c>
      <c r="L566" s="474">
        <f t="shared" si="209"/>
        <v>600</v>
      </c>
      <c r="M566" s="482">
        <f t="shared" si="209"/>
        <v>0</v>
      </c>
      <c r="N566" s="494">
        <f t="shared" si="209"/>
        <v>0</v>
      </c>
    </row>
    <row r="567" spans="1:14" ht="12.75">
      <c r="A567" s="63"/>
      <c r="B567" s="63"/>
      <c r="C567" s="59"/>
      <c r="D567" s="1" t="s">
        <v>120</v>
      </c>
      <c r="E567" s="16" t="s">
        <v>100</v>
      </c>
      <c r="F567" s="61">
        <f t="shared" si="204"/>
        <v>600</v>
      </c>
      <c r="G567" s="452"/>
      <c r="H567" s="142"/>
      <c r="I567" s="462"/>
      <c r="J567" s="90"/>
      <c r="K567" s="94"/>
      <c r="L567" s="474">
        <v>600</v>
      </c>
      <c r="M567" s="482"/>
      <c r="N567" s="494"/>
    </row>
    <row r="568" spans="1:14" ht="12.75">
      <c r="A568" s="63"/>
      <c r="B568" s="1" t="s">
        <v>68</v>
      </c>
      <c r="C568" s="1"/>
      <c r="D568" s="1"/>
      <c r="E568" s="16" t="s">
        <v>69</v>
      </c>
      <c r="F568" s="61">
        <f t="shared" si="204"/>
        <v>0</v>
      </c>
      <c r="G568" s="452">
        <f>G569</f>
        <v>0</v>
      </c>
      <c r="H568" s="142">
        <f aca="true" t="shared" si="210" ref="H568:N571">H569</f>
        <v>0</v>
      </c>
      <c r="I568" s="462">
        <f t="shared" si="210"/>
        <v>0</v>
      </c>
      <c r="J568" s="90">
        <f t="shared" si="210"/>
        <v>0</v>
      </c>
      <c r="K568" s="94">
        <f t="shared" si="210"/>
        <v>0</v>
      </c>
      <c r="L568" s="474">
        <f t="shared" si="210"/>
        <v>0</v>
      </c>
      <c r="M568" s="482">
        <f t="shared" si="210"/>
        <v>0</v>
      </c>
      <c r="N568" s="494">
        <f t="shared" si="210"/>
        <v>0</v>
      </c>
    </row>
    <row r="569" spans="1:14" ht="12.75">
      <c r="A569" s="63"/>
      <c r="B569" s="1" t="s">
        <v>9</v>
      </c>
      <c r="C569" s="1"/>
      <c r="D569" s="1"/>
      <c r="E569" s="16" t="s">
        <v>70</v>
      </c>
      <c r="F569" s="61">
        <f t="shared" si="204"/>
        <v>0</v>
      </c>
      <c r="G569" s="452">
        <f>G570</f>
        <v>0</v>
      </c>
      <c r="H569" s="142">
        <f t="shared" si="210"/>
        <v>0</v>
      </c>
      <c r="I569" s="462">
        <f t="shared" si="210"/>
        <v>0</v>
      </c>
      <c r="J569" s="90">
        <f t="shared" si="210"/>
        <v>0</v>
      </c>
      <c r="K569" s="94">
        <f t="shared" si="210"/>
        <v>0</v>
      </c>
      <c r="L569" s="474">
        <f t="shared" si="210"/>
        <v>0</v>
      </c>
      <c r="M569" s="482">
        <f t="shared" si="210"/>
        <v>0</v>
      </c>
      <c r="N569" s="494">
        <f t="shared" si="210"/>
        <v>0</v>
      </c>
    </row>
    <row r="570" spans="1:14" ht="12.75">
      <c r="A570" s="63"/>
      <c r="B570" s="1"/>
      <c r="C570" s="1" t="s">
        <v>255</v>
      </c>
      <c r="D570" s="1"/>
      <c r="E570" s="16" t="s">
        <v>187</v>
      </c>
      <c r="F570" s="61">
        <f t="shared" si="204"/>
        <v>0</v>
      </c>
      <c r="G570" s="452">
        <f>G571</f>
        <v>0</v>
      </c>
      <c r="H570" s="142">
        <f t="shared" si="210"/>
        <v>0</v>
      </c>
      <c r="I570" s="462">
        <f t="shared" si="210"/>
        <v>0</v>
      </c>
      <c r="J570" s="90">
        <f t="shared" si="210"/>
        <v>0</v>
      </c>
      <c r="K570" s="94">
        <f t="shared" si="210"/>
        <v>0</v>
      </c>
      <c r="L570" s="474">
        <f t="shared" si="210"/>
        <v>0</v>
      </c>
      <c r="M570" s="482">
        <f t="shared" si="210"/>
        <v>0</v>
      </c>
      <c r="N570" s="494">
        <f t="shared" si="210"/>
        <v>0</v>
      </c>
    </row>
    <row r="571" spans="1:14" ht="12.75">
      <c r="A571" s="63"/>
      <c r="B571" s="1"/>
      <c r="C571" s="1" t="s">
        <v>256</v>
      </c>
      <c r="D571" s="1"/>
      <c r="E571" s="16" t="s">
        <v>187</v>
      </c>
      <c r="F571" s="61">
        <f t="shared" si="204"/>
        <v>0</v>
      </c>
      <c r="G571" s="452">
        <f>G572</f>
        <v>0</v>
      </c>
      <c r="H571" s="142">
        <f t="shared" si="210"/>
        <v>0</v>
      </c>
      <c r="I571" s="462">
        <f t="shared" si="210"/>
        <v>0</v>
      </c>
      <c r="J571" s="90">
        <f t="shared" si="210"/>
        <v>0</v>
      </c>
      <c r="K571" s="94">
        <f t="shared" si="210"/>
        <v>0</v>
      </c>
      <c r="L571" s="474">
        <f t="shared" si="210"/>
        <v>0</v>
      </c>
      <c r="M571" s="482">
        <f t="shared" si="210"/>
        <v>0</v>
      </c>
      <c r="N571" s="494">
        <f t="shared" si="210"/>
        <v>0</v>
      </c>
    </row>
    <row r="572" spans="1:14" ht="12.75">
      <c r="A572" s="63"/>
      <c r="B572" s="1"/>
      <c r="C572" s="1" t="s">
        <v>257</v>
      </c>
      <c r="D572" s="1"/>
      <c r="E572" s="16" t="s">
        <v>187</v>
      </c>
      <c r="F572" s="61">
        <f t="shared" si="204"/>
        <v>0</v>
      </c>
      <c r="G572" s="452">
        <f>G573+G575</f>
        <v>0</v>
      </c>
      <c r="H572" s="142">
        <f aca="true" t="shared" si="211" ref="H572:N572">H573+H575</f>
        <v>0</v>
      </c>
      <c r="I572" s="462">
        <f t="shared" si="211"/>
        <v>0</v>
      </c>
      <c r="J572" s="90">
        <f t="shared" si="211"/>
        <v>0</v>
      </c>
      <c r="K572" s="94">
        <f t="shared" si="211"/>
        <v>0</v>
      </c>
      <c r="L572" s="474">
        <f t="shared" si="211"/>
        <v>0</v>
      </c>
      <c r="M572" s="482">
        <f t="shared" si="211"/>
        <v>0</v>
      </c>
      <c r="N572" s="494">
        <f t="shared" si="211"/>
        <v>0</v>
      </c>
    </row>
    <row r="573" spans="1:14" ht="12.75">
      <c r="A573" s="63"/>
      <c r="B573" s="1"/>
      <c r="C573" s="1"/>
      <c r="D573" s="1" t="s">
        <v>210</v>
      </c>
      <c r="E573" s="16" t="s">
        <v>211</v>
      </c>
      <c r="F573" s="61">
        <f t="shared" si="204"/>
        <v>500</v>
      </c>
      <c r="G573" s="452">
        <f>G574</f>
        <v>0</v>
      </c>
      <c r="H573" s="142">
        <f aca="true" t="shared" si="212" ref="H573:N573">H574</f>
        <v>0</v>
      </c>
      <c r="I573" s="462">
        <f t="shared" si="212"/>
        <v>0</v>
      </c>
      <c r="J573" s="90">
        <f t="shared" si="212"/>
        <v>0</v>
      </c>
      <c r="K573" s="94">
        <f t="shared" si="212"/>
        <v>0</v>
      </c>
      <c r="L573" s="474">
        <f t="shared" si="212"/>
        <v>0</v>
      </c>
      <c r="M573" s="482">
        <f t="shared" si="212"/>
        <v>0</v>
      </c>
      <c r="N573" s="494">
        <f t="shared" si="212"/>
        <v>500</v>
      </c>
    </row>
    <row r="574" spans="1:14" ht="12.75">
      <c r="A574" s="63"/>
      <c r="B574" s="1"/>
      <c r="C574" s="1"/>
      <c r="D574" s="1" t="s">
        <v>8</v>
      </c>
      <c r="E574" s="16" t="s">
        <v>216</v>
      </c>
      <c r="F574" s="61">
        <f t="shared" si="204"/>
        <v>500</v>
      </c>
      <c r="G574" s="452"/>
      <c r="H574" s="142"/>
      <c r="I574" s="462"/>
      <c r="J574" s="90"/>
      <c r="K574" s="94"/>
      <c r="L574" s="474"/>
      <c r="M574" s="482"/>
      <c r="N574" s="494">
        <v>500</v>
      </c>
    </row>
    <row r="575" spans="1:14" ht="12.75">
      <c r="A575" s="63"/>
      <c r="B575" s="1"/>
      <c r="C575" s="1"/>
      <c r="D575" s="1" t="s">
        <v>71</v>
      </c>
      <c r="E575" s="16" t="s">
        <v>38</v>
      </c>
      <c r="F575" s="61">
        <f t="shared" si="204"/>
        <v>-500</v>
      </c>
      <c r="G575" s="452">
        <f>G576</f>
        <v>0</v>
      </c>
      <c r="H575" s="142">
        <f aca="true" t="shared" si="213" ref="H575:N575">H576</f>
        <v>0</v>
      </c>
      <c r="I575" s="462">
        <f t="shared" si="213"/>
        <v>0</v>
      </c>
      <c r="J575" s="90">
        <f t="shared" si="213"/>
        <v>0</v>
      </c>
      <c r="K575" s="94">
        <f t="shared" si="213"/>
        <v>0</v>
      </c>
      <c r="L575" s="474">
        <f t="shared" si="213"/>
        <v>0</v>
      </c>
      <c r="M575" s="482">
        <f t="shared" si="213"/>
        <v>0</v>
      </c>
      <c r="N575" s="494">
        <f t="shared" si="213"/>
        <v>-500</v>
      </c>
    </row>
    <row r="576" spans="1:14" ht="12.75">
      <c r="A576" s="63"/>
      <c r="B576" s="1"/>
      <c r="C576" s="1"/>
      <c r="D576" s="1" t="s">
        <v>120</v>
      </c>
      <c r="E576" s="16" t="s">
        <v>100</v>
      </c>
      <c r="F576" s="61">
        <f t="shared" si="204"/>
        <v>-500</v>
      </c>
      <c r="G576" s="452"/>
      <c r="H576" s="142"/>
      <c r="I576" s="462"/>
      <c r="J576" s="90"/>
      <c r="K576" s="94"/>
      <c r="L576" s="474"/>
      <c r="M576" s="482"/>
      <c r="N576" s="494">
        <v>-500</v>
      </c>
    </row>
    <row r="577" spans="1:14" ht="25.5">
      <c r="A577" s="10" t="s">
        <v>143</v>
      </c>
      <c r="B577" s="10"/>
      <c r="C577" s="10"/>
      <c r="D577" s="10"/>
      <c r="E577" s="15" t="s">
        <v>224</v>
      </c>
      <c r="F577" s="66">
        <f aca="true" t="shared" si="214" ref="F577:N577">F578+F585+F670+F676</f>
        <v>19873.125</v>
      </c>
      <c r="G577" s="450">
        <f t="shared" si="214"/>
        <v>-12229.68</v>
      </c>
      <c r="H577" s="140">
        <f t="shared" si="214"/>
        <v>7554.2</v>
      </c>
      <c r="I577" s="460">
        <f t="shared" si="214"/>
        <v>1600</v>
      </c>
      <c r="J577" s="88">
        <f t="shared" si="214"/>
        <v>19925.100000000002</v>
      </c>
      <c r="K577" s="92">
        <f t="shared" si="214"/>
        <v>0</v>
      </c>
      <c r="L577" s="470">
        <f t="shared" si="214"/>
        <v>0</v>
      </c>
      <c r="M577" s="480">
        <f t="shared" si="214"/>
        <v>3023.505</v>
      </c>
      <c r="N577" s="490">
        <f t="shared" si="214"/>
        <v>0</v>
      </c>
    </row>
    <row r="578" spans="1:14" ht="12.75">
      <c r="A578" s="1"/>
      <c r="B578" s="1" t="s">
        <v>26</v>
      </c>
      <c r="C578" s="1"/>
      <c r="D578" s="1"/>
      <c r="E578" s="2" t="s">
        <v>27</v>
      </c>
      <c r="F578" s="61">
        <f aca="true" t="shared" si="215" ref="F578:N583">F579</f>
        <v>35</v>
      </c>
      <c r="G578" s="451">
        <f t="shared" si="215"/>
        <v>35</v>
      </c>
      <c r="H578" s="141">
        <f t="shared" si="215"/>
        <v>0</v>
      </c>
      <c r="I578" s="461">
        <f t="shared" si="215"/>
        <v>0</v>
      </c>
      <c r="J578" s="89">
        <f t="shared" si="215"/>
        <v>0</v>
      </c>
      <c r="K578" s="93">
        <f t="shared" si="215"/>
        <v>0</v>
      </c>
      <c r="L578" s="471">
        <f t="shared" si="215"/>
        <v>0</v>
      </c>
      <c r="M578" s="481">
        <f t="shared" si="215"/>
        <v>0</v>
      </c>
      <c r="N578" s="491">
        <f t="shared" si="215"/>
        <v>0</v>
      </c>
    </row>
    <row r="579" spans="1:14" ht="12.75">
      <c r="A579" s="1"/>
      <c r="B579" s="1" t="s">
        <v>80</v>
      </c>
      <c r="C579" s="1"/>
      <c r="D579" s="1"/>
      <c r="E579" s="16" t="s">
        <v>81</v>
      </c>
      <c r="F579" s="61">
        <f t="shared" si="215"/>
        <v>35</v>
      </c>
      <c r="G579" s="451">
        <f t="shared" si="215"/>
        <v>35</v>
      </c>
      <c r="H579" s="141">
        <f t="shared" si="215"/>
        <v>0</v>
      </c>
      <c r="I579" s="461">
        <f t="shared" si="215"/>
        <v>0</v>
      </c>
      <c r="J579" s="89">
        <f t="shared" si="215"/>
        <v>0</v>
      </c>
      <c r="K579" s="93">
        <f t="shared" si="215"/>
        <v>0</v>
      </c>
      <c r="L579" s="471">
        <f t="shared" si="215"/>
        <v>0</v>
      </c>
      <c r="M579" s="481">
        <f t="shared" si="215"/>
        <v>0</v>
      </c>
      <c r="N579" s="491">
        <f t="shared" si="215"/>
        <v>0</v>
      </c>
    </row>
    <row r="580" spans="1:14" ht="12.75">
      <c r="A580" s="1"/>
      <c r="B580" s="1"/>
      <c r="C580" s="1" t="s">
        <v>82</v>
      </c>
      <c r="D580" s="1"/>
      <c r="E580" s="16" t="s">
        <v>264</v>
      </c>
      <c r="F580" s="61">
        <f t="shared" si="215"/>
        <v>35</v>
      </c>
      <c r="G580" s="451">
        <f t="shared" si="215"/>
        <v>35</v>
      </c>
      <c r="H580" s="141">
        <f t="shared" si="215"/>
        <v>0</v>
      </c>
      <c r="I580" s="461">
        <f t="shared" si="215"/>
        <v>0</v>
      </c>
      <c r="J580" s="89">
        <f t="shared" si="215"/>
        <v>0</v>
      </c>
      <c r="K580" s="93">
        <f t="shared" si="215"/>
        <v>0</v>
      </c>
      <c r="L580" s="471">
        <f t="shared" si="215"/>
        <v>0</v>
      </c>
      <c r="M580" s="481">
        <f t="shared" si="215"/>
        <v>0</v>
      </c>
      <c r="N580" s="491">
        <f t="shared" si="215"/>
        <v>0</v>
      </c>
    </row>
    <row r="581" spans="1:14" ht="12.75">
      <c r="A581" s="1"/>
      <c r="B581" s="1"/>
      <c r="C581" s="1" t="s">
        <v>84</v>
      </c>
      <c r="D581" s="1"/>
      <c r="E581" s="16" t="s">
        <v>85</v>
      </c>
      <c r="F581" s="61">
        <f t="shared" si="215"/>
        <v>35</v>
      </c>
      <c r="G581" s="451">
        <f t="shared" si="215"/>
        <v>35</v>
      </c>
      <c r="H581" s="141">
        <f t="shared" si="215"/>
        <v>0</v>
      </c>
      <c r="I581" s="461">
        <f t="shared" si="215"/>
        <v>0</v>
      </c>
      <c r="J581" s="89">
        <f t="shared" si="215"/>
        <v>0</v>
      </c>
      <c r="K581" s="93">
        <f t="shared" si="215"/>
        <v>0</v>
      </c>
      <c r="L581" s="471">
        <f t="shared" si="215"/>
        <v>0</v>
      </c>
      <c r="M581" s="481">
        <f t="shared" si="215"/>
        <v>0</v>
      </c>
      <c r="N581" s="491">
        <f t="shared" si="215"/>
        <v>0</v>
      </c>
    </row>
    <row r="582" spans="1:14" ht="25.5">
      <c r="A582" s="1"/>
      <c r="B582" s="1"/>
      <c r="C582" s="1" t="s">
        <v>375</v>
      </c>
      <c r="D582" s="1"/>
      <c r="E582" s="16" t="s">
        <v>122</v>
      </c>
      <c r="F582" s="61">
        <f t="shared" si="215"/>
        <v>35</v>
      </c>
      <c r="G582" s="451">
        <f t="shared" si="215"/>
        <v>35</v>
      </c>
      <c r="H582" s="141">
        <f t="shared" si="215"/>
        <v>0</v>
      </c>
      <c r="I582" s="461">
        <f t="shared" si="215"/>
        <v>0</v>
      </c>
      <c r="J582" s="89">
        <f t="shared" si="215"/>
        <v>0</v>
      </c>
      <c r="K582" s="93">
        <f t="shared" si="215"/>
        <v>0</v>
      </c>
      <c r="L582" s="471">
        <f t="shared" si="215"/>
        <v>0</v>
      </c>
      <c r="M582" s="481">
        <f t="shared" si="215"/>
        <v>0</v>
      </c>
      <c r="N582" s="491">
        <f t="shared" si="215"/>
        <v>0</v>
      </c>
    </row>
    <row r="583" spans="1:14" ht="12.75">
      <c r="A583" s="1"/>
      <c r="B583" s="1"/>
      <c r="C583" s="1"/>
      <c r="D583" s="1" t="s">
        <v>230</v>
      </c>
      <c r="E583" s="16" t="s">
        <v>231</v>
      </c>
      <c r="F583" s="61">
        <f t="shared" si="215"/>
        <v>35</v>
      </c>
      <c r="G583" s="451">
        <f t="shared" si="215"/>
        <v>35</v>
      </c>
      <c r="H583" s="141">
        <f t="shared" si="215"/>
        <v>0</v>
      </c>
      <c r="I583" s="461">
        <f t="shared" si="215"/>
        <v>0</v>
      </c>
      <c r="J583" s="89">
        <f t="shared" si="215"/>
        <v>0</v>
      </c>
      <c r="K583" s="93">
        <f t="shared" si="215"/>
        <v>0</v>
      </c>
      <c r="L583" s="471">
        <f t="shared" si="215"/>
        <v>0</v>
      </c>
      <c r="M583" s="481">
        <f t="shared" si="215"/>
        <v>0</v>
      </c>
      <c r="N583" s="491">
        <f t="shared" si="215"/>
        <v>0</v>
      </c>
    </row>
    <row r="584" spans="1:14" ht="12.75">
      <c r="A584" s="1"/>
      <c r="B584" s="1"/>
      <c r="C584" s="1"/>
      <c r="D584" s="1" t="s">
        <v>234</v>
      </c>
      <c r="E584" s="16" t="s">
        <v>235</v>
      </c>
      <c r="F584" s="61">
        <f>G584+H584+I584+J584+K584+L584+M584+N584</f>
        <v>35</v>
      </c>
      <c r="G584" s="452">
        <v>35</v>
      </c>
      <c r="H584" s="142"/>
      <c r="I584" s="462"/>
      <c r="J584" s="90"/>
      <c r="K584" s="94"/>
      <c r="L584" s="474"/>
      <c r="M584" s="482"/>
      <c r="N584" s="494"/>
    </row>
    <row r="585" spans="1:14" ht="12.75">
      <c r="A585" s="1"/>
      <c r="B585" s="1" t="s">
        <v>50</v>
      </c>
      <c r="C585" s="1"/>
      <c r="D585" s="1"/>
      <c r="E585" s="16" t="s">
        <v>51</v>
      </c>
      <c r="F585" s="61">
        <f>F586+F607+F655+F665</f>
        <v>12591.953000000001</v>
      </c>
      <c r="G585" s="451">
        <f aca="true" t="shared" si="216" ref="G585:N585">G586+G607+G655+G665</f>
        <v>-14122.28</v>
      </c>
      <c r="H585" s="141">
        <f t="shared" si="216"/>
        <v>7554.2</v>
      </c>
      <c r="I585" s="461">
        <f t="shared" si="216"/>
        <v>1600</v>
      </c>
      <c r="J585" s="89">
        <f>J586+J607+J655+J665</f>
        <v>17138.2</v>
      </c>
      <c r="K585" s="93">
        <f t="shared" si="216"/>
        <v>0</v>
      </c>
      <c r="L585" s="471">
        <f t="shared" si="216"/>
        <v>0</v>
      </c>
      <c r="M585" s="481">
        <f t="shared" si="216"/>
        <v>421.833</v>
      </c>
      <c r="N585" s="491">
        <f t="shared" si="216"/>
        <v>0</v>
      </c>
    </row>
    <row r="586" spans="1:14" ht="12.75">
      <c r="A586" s="1"/>
      <c r="B586" s="1" t="s">
        <v>12</v>
      </c>
      <c r="C586" s="1"/>
      <c r="D586" s="1"/>
      <c r="E586" s="16" t="s">
        <v>52</v>
      </c>
      <c r="F586" s="61">
        <f>F587+F591+F597+F602</f>
        <v>-9901.096999999998</v>
      </c>
      <c r="G586" s="451">
        <f aca="true" t="shared" si="217" ref="G586:N586">G587+G591+G597+G602</f>
        <v>-17392.8</v>
      </c>
      <c r="H586" s="141">
        <f t="shared" si="217"/>
        <v>7339.7</v>
      </c>
      <c r="I586" s="461">
        <f t="shared" si="217"/>
        <v>0</v>
      </c>
      <c r="J586" s="89">
        <f t="shared" si="217"/>
        <v>0</v>
      </c>
      <c r="K586" s="93">
        <f t="shared" si="217"/>
        <v>0</v>
      </c>
      <c r="L586" s="471">
        <f t="shared" si="217"/>
        <v>0</v>
      </c>
      <c r="M586" s="481">
        <f t="shared" si="217"/>
        <v>152.003</v>
      </c>
      <c r="N586" s="491">
        <f t="shared" si="217"/>
        <v>0</v>
      </c>
    </row>
    <row r="587" spans="1:14" ht="12.75">
      <c r="A587" s="1"/>
      <c r="B587" s="1"/>
      <c r="C587" s="22" t="s">
        <v>110</v>
      </c>
      <c r="D587" s="22"/>
      <c r="E587" s="23" t="s">
        <v>111</v>
      </c>
      <c r="F587" s="61">
        <f>G587+H587+I587+J587+K587+L587+M587+N587</f>
        <v>13863.2</v>
      </c>
      <c r="G587" s="452">
        <f>G589</f>
        <v>13863.2</v>
      </c>
      <c r="H587" s="142">
        <f aca="true" t="shared" si="218" ref="H587:N587">H589</f>
        <v>0</v>
      </c>
      <c r="I587" s="462">
        <f t="shared" si="218"/>
        <v>0</v>
      </c>
      <c r="J587" s="90">
        <f t="shared" si="218"/>
        <v>0</v>
      </c>
      <c r="K587" s="94">
        <f t="shared" si="218"/>
        <v>0</v>
      </c>
      <c r="L587" s="474">
        <f t="shared" si="218"/>
        <v>0</v>
      </c>
      <c r="M587" s="482">
        <f t="shared" si="218"/>
        <v>0</v>
      </c>
      <c r="N587" s="494">
        <f t="shared" si="218"/>
        <v>0</v>
      </c>
    </row>
    <row r="588" spans="1:14" ht="12.75">
      <c r="A588" s="1"/>
      <c r="B588" s="1"/>
      <c r="C588" s="1" t="s">
        <v>196</v>
      </c>
      <c r="D588" s="1"/>
      <c r="E588" s="48" t="s">
        <v>250</v>
      </c>
      <c r="F588" s="61">
        <f>G588+H588+I588+J588+K588+L588+M588+N588</f>
        <v>13863.2</v>
      </c>
      <c r="G588" s="452">
        <f>G589</f>
        <v>13863.2</v>
      </c>
      <c r="H588" s="142">
        <f aca="true" t="shared" si="219" ref="H588:N589">H589</f>
        <v>0</v>
      </c>
      <c r="I588" s="462">
        <f t="shared" si="219"/>
        <v>0</v>
      </c>
      <c r="J588" s="90">
        <f t="shared" si="219"/>
        <v>0</v>
      </c>
      <c r="K588" s="94">
        <f t="shared" si="219"/>
        <v>0</v>
      </c>
      <c r="L588" s="474">
        <f t="shared" si="219"/>
        <v>0</v>
      </c>
      <c r="M588" s="482">
        <f t="shared" si="219"/>
        <v>0</v>
      </c>
      <c r="N588" s="494">
        <f t="shared" si="219"/>
        <v>0</v>
      </c>
    </row>
    <row r="589" spans="1:14" ht="27.75" customHeight="1">
      <c r="A589" s="1"/>
      <c r="B589" s="1"/>
      <c r="C589" s="1"/>
      <c r="D589" s="1" t="s">
        <v>232</v>
      </c>
      <c r="E589" s="48" t="s">
        <v>403</v>
      </c>
      <c r="F589" s="61">
        <f>G589+H589+I589+J589+K589+L589+M589+N589</f>
        <v>13863.2</v>
      </c>
      <c r="G589" s="452">
        <f>G590</f>
        <v>13863.2</v>
      </c>
      <c r="H589" s="142">
        <f t="shared" si="219"/>
        <v>0</v>
      </c>
      <c r="I589" s="462">
        <f t="shared" si="219"/>
        <v>0</v>
      </c>
      <c r="J589" s="90">
        <f t="shared" si="219"/>
        <v>0</v>
      </c>
      <c r="K589" s="94">
        <f t="shared" si="219"/>
        <v>0</v>
      </c>
      <c r="L589" s="474">
        <f t="shared" si="219"/>
        <v>0</v>
      </c>
      <c r="M589" s="482">
        <f t="shared" si="219"/>
        <v>0</v>
      </c>
      <c r="N589" s="494">
        <f t="shared" si="219"/>
        <v>0</v>
      </c>
    </row>
    <row r="590" spans="1:14" ht="12.75">
      <c r="A590" s="1"/>
      <c r="B590" s="1"/>
      <c r="C590" s="1"/>
      <c r="D590" s="1" t="s">
        <v>132</v>
      </c>
      <c r="E590" s="16" t="s">
        <v>251</v>
      </c>
      <c r="F590" s="61">
        <f>G590+H590+I590+J590+K590+L590+M590+N590</f>
        <v>13863.2</v>
      </c>
      <c r="G590" s="452">
        <v>13863.2</v>
      </c>
      <c r="H590" s="142"/>
      <c r="I590" s="462"/>
      <c r="J590" s="90"/>
      <c r="K590" s="94"/>
      <c r="L590" s="474"/>
      <c r="M590" s="482"/>
      <c r="N590" s="494"/>
    </row>
    <row r="591" spans="1:14" ht="12.75">
      <c r="A591" s="1"/>
      <c r="B591" s="1"/>
      <c r="C591" s="1" t="s">
        <v>376</v>
      </c>
      <c r="D591" s="1"/>
      <c r="E591" s="16" t="s">
        <v>379</v>
      </c>
      <c r="F591" s="61">
        <f>F592</f>
        <v>-31256</v>
      </c>
      <c r="G591" s="451">
        <f aca="true" t="shared" si="220" ref="G591:N591">G592</f>
        <v>-31256</v>
      </c>
      <c r="H591" s="141">
        <f t="shared" si="220"/>
        <v>0</v>
      </c>
      <c r="I591" s="461">
        <f t="shared" si="220"/>
        <v>0</v>
      </c>
      <c r="J591" s="89">
        <f t="shared" si="220"/>
        <v>0</v>
      </c>
      <c r="K591" s="93">
        <f t="shared" si="220"/>
        <v>0</v>
      </c>
      <c r="L591" s="471">
        <f t="shared" si="220"/>
        <v>0</v>
      </c>
      <c r="M591" s="481">
        <f t="shared" si="220"/>
        <v>0</v>
      </c>
      <c r="N591" s="491">
        <f t="shared" si="220"/>
        <v>0</v>
      </c>
    </row>
    <row r="592" spans="1:14" ht="12.75">
      <c r="A592" s="1"/>
      <c r="B592" s="1"/>
      <c r="C592" s="1" t="s">
        <v>377</v>
      </c>
      <c r="D592" s="1"/>
      <c r="E592" s="16" t="s">
        <v>380</v>
      </c>
      <c r="F592" s="61">
        <f>F593+F595</f>
        <v>-31256</v>
      </c>
      <c r="G592" s="451">
        <f aca="true" t="shared" si="221" ref="G592:N592">G593+G595</f>
        <v>-31256</v>
      </c>
      <c r="H592" s="141">
        <f t="shared" si="221"/>
        <v>0</v>
      </c>
      <c r="I592" s="461">
        <f t="shared" si="221"/>
        <v>0</v>
      </c>
      <c r="J592" s="89">
        <f t="shared" si="221"/>
        <v>0</v>
      </c>
      <c r="K592" s="93">
        <f t="shared" si="221"/>
        <v>0</v>
      </c>
      <c r="L592" s="471">
        <f t="shared" si="221"/>
        <v>0</v>
      </c>
      <c r="M592" s="481">
        <f t="shared" si="221"/>
        <v>0</v>
      </c>
      <c r="N592" s="491">
        <f t="shared" si="221"/>
        <v>0</v>
      </c>
    </row>
    <row r="593" spans="1:14" ht="12.75">
      <c r="A593" s="1"/>
      <c r="B593" s="1"/>
      <c r="C593" s="1"/>
      <c r="D593" s="1" t="s">
        <v>210</v>
      </c>
      <c r="E593" s="16" t="s">
        <v>211</v>
      </c>
      <c r="F593" s="61">
        <f>F594</f>
        <v>-310</v>
      </c>
      <c r="G593" s="451">
        <f aca="true" t="shared" si="222" ref="G593:N593">G594</f>
        <v>-310</v>
      </c>
      <c r="H593" s="141">
        <f t="shared" si="222"/>
        <v>0</v>
      </c>
      <c r="I593" s="461">
        <f t="shared" si="222"/>
        <v>0</v>
      </c>
      <c r="J593" s="89">
        <f t="shared" si="222"/>
        <v>0</v>
      </c>
      <c r="K593" s="93">
        <f t="shared" si="222"/>
        <v>0</v>
      </c>
      <c r="L593" s="471">
        <f t="shared" si="222"/>
        <v>0</v>
      </c>
      <c r="M593" s="481">
        <f t="shared" si="222"/>
        <v>0</v>
      </c>
      <c r="N593" s="491">
        <f t="shared" si="222"/>
        <v>0</v>
      </c>
    </row>
    <row r="594" spans="1:14" ht="12.75">
      <c r="A594" s="1"/>
      <c r="B594" s="1"/>
      <c r="C594" s="1"/>
      <c r="D594" s="1" t="s">
        <v>8</v>
      </c>
      <c r="E594" s="16" t="s">
        <v>216</v>
      </c>
      <c r="F594" s="61">
        <f>G594+H594+I594+J594+K594+L594+M594+N594</f>
        <v>-310</v>
      </c>
      <c r="G594" s="452">
        <v>-310</v>
      </c>
      <c r="H594" s="142"/>
      <c r="I594" s="462"/>
      <c r="J594" s="90"/>
      <c r="K594" s="94"/>
      <c r="L594" s="474"/>
      <c r="M594" s="482"/>
      <c r="N594" s="494"/>
    </row>
    <row r="595" spans="1:14" ht="12.75">
      <c r="A595" s="1"/>
      <c r="B595" s="1"/>
      <c r="C595" s="1"/>
      <c r="D595" s="1" t="s">
        <v>225</v>
      </c>
      <c r="E595" s="16" t="s">
        <v>226</v>
      </c>
      <c r="F595" s="61">
        <f>F596</f>
        <v>-30946</v>
      </c>
      <c r="G595" s="451">
        <f aca="true" t="shared" si="223" ref="G595:N595">G596</f>
        <v>-30946</v>
      </c>
      <c r="H595" s="141">
        <f t="shared" si="223"/>
        <v>0</v>
      </c>
      <c r="I595" s="461">
        <f t="shared" si="223"/>
        <v>0</v>
      </c>
      <c r="J595" s="89">
        <f t="shared" si="223"/>
        <v>0</v>
      </c>
      <c r="K595" s="93">
        <f t="shared" si="223"/>
        <v>0</v>
      </c>
      <c r="L595" s="471">
        <f t="shared" si="223"/>
        <v>0</v>
      </c>
      <c r="M595" s="481">
        <f t="shared" si="223"/>
        <v>0</v>
      </c>
      <c r="N595" s="491">
        <f t="shared" si="223"/>
        <v>0</v>
      </c>
    </row>
    <row r="596" spans="1:14" ht="12.75">
      <c r="A596" s="1"/>
      <c r="B596" s="1"/>
      <c r="C596" s="1"/>
      <c r="D596" s="1" t="s">
        <v>378</v>
      </c>
      <c r="E596" s="16" t="s">
        <v>381</v>
      </c>
      <c r="F596" s="61">
        <f aca="true" t="shared" si="224" ref="F596:F602">G596+H596+I596+J596+K596+L596+M596+N596</f>
        <v>-30946</v>
      </c>
      <c r="G596" s="452">
        <v>-30946</v>
      </c>
      <c r="H596" s="142"/>
      <c r="I596" s="462"/>
      <c r="J596" s="90"/>
      <c r="K596" s="94"/>
      <c r="L596" s="474"/>
      <c r="M596" s="482"/>
      <c r="N596" s="494"/>
    </row>
    <row r="597" spans="1:14" ht="12.75">
      <c r="A597" s="1"/>
      <c r="B597" s="1"/>
      <c r="C597" s="1" t="s">
        <v>37</v>
      </c>
      <c r="D597" s="1"/>
      <c r="E597" s="16" t="s">
        <v>38</v>
      </c>
      <c r="F597" s="61">
        <f t="shared" si="224"/>
        <v>152.003</v>
      </c>
      <c r="G597" s="452">
        <f>G598</f>
        <v>0</v>
      </c>
      <c r="H597" s="142">
        <f aca="true" t="shared" si="225" ref="H597:N600">H598</f>
        <v>0</v>
      </c>
      <c r="I597" s="462">
        <f t="shared" si="225"/>
        <v>0</v>
      </c>
      <c r="J597" s="90">
        <f t="shared" si="225"/>
        <v>0</v>
      </c>
      <c r="K597" s="94">
        <f t="shared" si="225"/>
        <v>0</v>
      </c>
      <c r="L597" s="474">
        <f t="shared" si="225"/>
        <v>0</v>
      </c>
      <c r="M597" s="482">
        <f t="shared" si="225"/>
        <v>152.003</v>
      </c>
      <c r="N597" s="494">
        <f t="shared" si="225"/>
        <v>0</v>
      </c>
    </row>
    <row r="598" spans="1:14" ht="25.5">
      <c r="A598" s="1"/>
      <c r="B598" s="1"/>
      <c r="C598" s="1" t="s">
        <v>209</v>
      </c>
      <c r="D598" s="1"/>
      <c r="E598" s="16" t="s">
        <v>3</v>
      </c>
      <c r="F598" s="61">
        <f t="shared" si="224"/>
        <v>152.003</v>
      </c>
      <c r="G598" s="452">
        <f>G599</f>
        <v>0</v>
      </c>
      <c r="H598" s="142">
        <f t="shared" si="225"/>
        <v>0</v>
      </c>
      <c r="I598" s="462">
        <f t="shared" si="225"/>
        <v>0</v>
      </c>
      <c r="J598" s="90">
        <f t="shared" si="225"/>
        <v>0</v>
      </c>
      <c r="K598" s="94">
        <f t="shared" si="225"/>
        <v>0</v>
      </c>
      <c r="L598" s="474">
        <f t="shared" si="225"/>
        <v>0</v>
      </c>
      <c r="M598" s="482">
        <f t="shared" si="225"/>
        <v>152.003</v>
      </c>
      <c r="N598" s="494">
        <f t="shared" si="225"/>
        <v>0</v>
      </c>
    </row>
    <row r="599" spans="1:14" ht="12.75">
      <c r="A599" s="1"/>
      <c r="B599" s="1"/>
      <c r="C599" s="1" t="s">
        <v>177</v>
      </c>
      <c r="D599" s="1"/>
      <c r="E599" s="16" t="s">
        <v>166</v>
      </c>
      <c r="F599" s="61">
        <f t="shared" si="224"/>
        <v>152.003</v>
      </c>
      <c r="G599" s="452">
        <f>G600</f>
        <v>0</v>
      </c>
      <c r="H599" s="142">
        <f t="shared" si="225"/>
        <v>0</v>
      </c>
      <c r="I599" s="462">
        <f t="shared" si="225"/>
        <v>0</v>
      </c>
      <c r="J599" s="90">
        <f t="shared" si="225"/>
        <v>0</v>
      </c>
      <c r="K599" s="94">
        <f t="shared" si="225"/>
        <v>0</v>
      </c>
      <c r="L599" s="474">
        <f t="shared" si="225"/>
        <v>0</v>
      </c>
      <c r="M599" s="482">
        <f t="shared" si="225"/>
        <v>152.003</v>
      </c>
      <c r="N599" s="494">
        <f t="shared" si="225"/>
        <v>0</v>
      </c>
    </row>
    <row r="600" spans="1:14" ht="28.5" customHeight="1">
      <c r="A600" s="1"/>
      <c r="B600" s="1"/>
      <c r="C600" s="1"/>
      <c r="D600" s="1" t="s">
        <v>232</v>
      </c>
      <c r="E600" s="48" t="s">
        <v>403</v>
      </c>
      <c r="F600" s="61">
        <f t="shared" si="224"/>
        <v>152.003</v>
      </c>
      <c r="G600" s="452">
        <f>G601</f>
        <v>0</v>
      </c>
      <c r="H600" s="142">
        <f t="shared" si="225"/>
        <v>0</v>
      </c>
      <c r="I600" s="462">
        <f t="shared" si="225"/>
        <v>0</v>
      </c>
      <c r="J600" s="90">
        <f t="shared" si="225"/>
        <v>0</v>
      </c>
      <c r="K600" s="94">
        <f t="shared" si="225"/>
        <v>0</v>
      </c>
      <c r="L600" s="474">
        <f t="shared" si="225"/>
        <v>0</v>
      </c>
      <c r="M600" s="482">
        <f t="shared" si="225"/>
        <v>152.003</v>
      </c>
      <c r="N600" s="494">
        <f t="shared" si="225"/>
        <v>0</v>
      </c>
    </row>
    <row r="601" spans="1:14" ht="12.75">
      <c r="A601" s="1"/>
      <c r="B601" s="1"/>
      <c r="C601" s="1"/>
      <c r="D601" s="1" t="s">
        <v>132</v>
      </c>
      <c r="E601" s="16" t="s">
        <v>251</v>
      </c>
      <c r="F601" s="61">
        <f t="shared" si="224"/>
        <v>152.003</v>
      </c>
      <c r="G601" s="452"/>
      <c r="H601" s="142"/>
      <c r="I601" s="462"/>
      <c r="J601" s="90"/>
      <c r="K601" s="94"/>
      <c r="L601" s="474"/>
      <c r="M601" s="482">
        <v>152.003</v>
      </c>
      <c r="N601" s="494"/>
    </row>
    <row r="602" spans="1:14" ht="12.75">
      <c r="A602" s="1"/>
      <c r="B602" s="1"/>
      <c r="C602" s="1" t="s">
        <v>54</v>
      </c>
      <c r="D602" s="1"/>
      <c r="E602" s="16" t="s">
        <v>55</v>
      </c>
      <c r="F602" s="61">
        <f t="shared" si="224"/>
        <v>7339.7</v>
      </c>
      <c r="G602" s="452">
        <f>G603</f>
        <v>0</v>
      </c>
      <c r="H602" s="142">
        <f aca="true" t="shared" si="226" ref="H602:N603">H603</f>
        <v>7339.7</v>
      </c>
      <c r="I602" s="462">
        <f t="shared" si="226"/>
        <v>0</v>
      </c>
      <c r="J602" s="90">
        <f t="shared" si="226"/>
        <v>0</v>
      </c>
      <c r="K602" s="94">
        <f t="shared" si="226"/>
        <v>0</v>
      </c>
      <c r="L602" s="474">
        <f t="shared" si="226"/>
        <v>0</v>
      </c>
      <c r="M602" s="482">
        <f t="shared" si="226"/>
        <v>0</v>
      </c>
      <c r="N602" s="494">
        <f t="shared" si="226"/>
        <v>0</v>
      </c>
    </row>
    <row r="603" spans="1:14" ht="12.75">
      <c r="A603" s="1"/>
      <c r="B603" s="1"/>
      <c r="C603" s="1" t="s">
        <v>56</v>
      </c>
      <c r="D603" s="1"/>
      <c r="E603" s="16" t="s">
        <v>57</v>
      </c>
      <c r="F603" s="61">
        <f>F604</f>
        <v>7339.7</v>
      </c>
      <c r="G603" s="451">
        <f>G604</f>
        <v>0</v>
      </c>
      <c r="H603" s="141">
        <f t="shared" si="226"/>
        <v>7339.7</v>
      </c>
      <c r="I603" s="461">
        <f t="shared" si="226"/>
        <v>0</v>
      </c>
      <c r="J603" s="89">
        <f t="shared" si="226"/>
        <v>0</v>
      </c>
      <c r="K603" s="93">
        <f t="shared" si="226"/>
        <v>0</v>
      </c>
      <c r="L603" s="471">
        <f t="shared" si="226"/>
        <v>0</v>
      </c>
      <c r="M603" s="481">
        <f t="shared" si="226"/>
        <v>0</v>
      </c>
      <c r="N603" s="491">
        <f t="shared" si="226"/>
        <v>0</v>
      </c>
    </row>
    <row r="604" spans="1:14" ht="24" customHeight="1">
      <c r="A604" s="1"/>
      <c r="B604" s="1"/>
      <c r="C604" s="59" t="s">
        <v>58</v>
      </c>
      <c r="D604" s="1"/>
      <c r="E604" s="16" t="s">
        <v>220</v>
      </c>
      <c r="F604" s="61">
        <f>F605</f>
        <v>7339.7</v>
      </c>
      <c r="G604" s="451">
        <f aca="true" t="shared" si="227" ref="G604:N605">G605</f>
        <v>0</v>
      </c>
      <c r="H604" s="141">
        <f t="shared" si="227"/>
        <v>7339.7</v>
      </c>
      <c r="I604" s="461">
        <f t="shared" si="227"/>
        <v>0</v>
      </c>
      <c r="J604" s="89">
        <f t="shared" si="227"/>
        <v>0</v>
      </c>
      <c r="K604" s="93">
        <f t="shared" si="227"/>
        <v>0</v>
      </c>
      <c r="L604" s="471">
        <f t="shared" si="227"/>
        <v>0</v>
      </c>
      <c r="M604" s="481">
        <f t="shared" si="227"/>
        <v>0</v>
      </c>
      <c r="N604" s="491">
        <f t="shared" si="227"/>
        <v>0</v>
      </c>
    </row>
    <row r="605" spans="1:14" ht="27" customHeight="1">
      <c r="A605" s="1"/>
      <c r="B605" s="1"/>
      <c r="C605" s="59"/>
      <c r="D605" s="1" t="s">
        <v>232</v>
      </c>
      <c r="E605" s="16" t="s">
        <v>403</v>
      </c>
      <c r="F605" s="61">
        <f>F606</f>
        <v>7339.7</v>
      </c>
      <c r="G605" s="451">
        <f t="shared" si="227"/>
        <v>0</v>
      </c>
      <c r="H605" s="141">
        <f t="shared" si="227"/>
        <v>7339.7</v>
      </c>
      <c r="I605" s="461">
        <f t="shared" si="227"/>
        <v>0</v>
      </c>
      <c r="J605" s="89">
        <f t="shared" si="227"/>
        <v>0</v>
      </c>
      <c r="K605" s="93">
        <f t="shared" si="227"/>
        <v>0</v>
      </c>
      <c r="L605" s="471">
        <f t="shared" si="227"/>
        <v>0</v>
      </c>
      <c r="M605" s="481">
        <f t="shared" si="227"/>
        <v>0</v>
      </c>
      <c r="N605" s="491">
        <f t="shared" si="227"/>
        <v>0</v>
      </c>
    </row>
    <row r="606" spans="1:14" ht="12.75">
      <c r="A606" s="1"/>
      <c r="B606" s="1"/>
      <c r="C606" s="59"/>
      <c r="D606" s="1" t="s">
        <v>132</v>
      </c>
      <c r="E606" s="16" t="s">
        <v>251</v>
      </c>
      <c r="F606" s="61">
        <f>G606+H606+I606+J606+K606+L606+M606+N606</f>
        <v>7339.7</v>
      </c>
      <c r="G606" s="452"/>
      <c r="H606" s="142">
        <f>72.2+7267.5</f>
        <v>7339.7</v>
      </c>
      <c r="I606" s="462"/>
      <c r="J606" s="90"/>
      <c r="K606" s="94"/>
      <c r="L606" s="474"/>
      <c r="M606" s="482"/>
      <c r="N606" s="494"/>
    </row>
    <row r="607" spans="1:14" ht="12.75">
      <c r="A607" s="63"/>
      <c r="B607" s="1" t="s">
        <v>5</v>
      </c>
      <c r="C607" s="1"/>
      <c r="D607" s="1"/>
      <c r="E607" s="16" t="s">
        <v>53</v>
      </c>
      <c r="F607" s="61">
        <f>F608+F618+F622+F627+F631+F641+F646</f>
        <v>21694.03</v>
      </c>
      <c r="G607" s="451">
        <f aca="true" t="shared" si="228" ref="G607:N607">G608+G618+G622+G627+G631+G641+G646</f>
        <v>3683.8</v>
      </c>
      <c r="H607" s="141">
        <f t="shared" si="228"/>
        <v>214.5</v>
      </c>
      <c r="I607" s="461">
        <f t="shared" si="228"/>
        <v>1600</v>
      </c>
      <c r="J607" s="89">
        <f t="shared" si="228"/>
        <v>15925.900000000001</v>
      </c>
      <c r="K607" s="93">
        <f t="shared" si="228"/>
        <v>0</v>
      </c>
      <c r="L607" s="471">
        <f t="shared" si="228"/>
        <v>0</v>
      </c>
      <c r="M607" s="481">
        <f t="shared" si="228"/>
        <v>269.83000000000004</v>
      </c>
      <c r="N607" s="491">
        <f t="shared" si="228"/>
        <v>0</v>
      </c>
    </row>
    <row r="608" spans="1:14" ht="25.5">
      <c r="A608" s="63"/>
      <c r="B608" s="1"/>
      <c r="C608" s="1" t="s">
        <v>323</v>
      </c>
      <c r="D608" s="1"/>
      <c r="E608" s="16" t="s">
        <v>329</v>
      </c>
      <c r="F608" s="61">
        <f>F609</f>
        <v>1600</v>
      </c>
      <c r="G608" s="451">
        <f aca="true" t="shared" si="229" ref="G608:N608">G609</f>
        <v>0</v>
      </c>
      <c r="H608" s="141">
        <f t="shared" si="229"/>
        <v>0</v>
      </c>
      <c r="I608" s="461">
        <f t="shared" si="229"/>
        <v>1600</v>
      </c>
      <c r="J608" s="89">
        <f t="shared" si="229"/>
        <v>0</v>
      </c>
      <c r="K608" s="93">
        <f t="shared" si="229"/>
        <v>0</v>
      </c>
      <c r="L608" s="471">
        <f t="shared" si="229"/>
        <v>0</v>
      </c>
      <c r="M608" s="481">
        <f t="shared" si="229"/>
        <v>0</v>
      </c>
      <c r="N608" s="491">
        <f t="shared" si="229"/>
        <v>0</v>
      </c>
    </row>
    <row r="609" spans="1:14" ht="12.75">
      <c r="A609" s="63"/>
      <c r="B609" s="1"/>
      <c r="C609" s="1" t="s">
        <v>324</v>
      </c>
      <c r="D609" s="1"/>
      <c r="E609" s="16" t="s">
        <v>330</v>
      </c>
      <c r="F609" s="61">
        <f>F610+F615</f>
        <v>1600</v>
      </c>
      <c r="G609" s="451">
        <f aca="true" t="shared" si="230" ref="G609:N609">G610+G615</f>
        <v>0</v>
      </c>
      <c r="H609" s="141">
        <f t="shared" si="230"/>
        <v>0</v>
      </c>
      <c r="I609" s="461">
        <f t="shared" si="230"/>
        <v>1600</v>
      </c>
      <c r="J609" s="89">
        <f t="shared" si="230"/>
        <v>0</v>
      </c>
      <c r="K609" s="93">
        <f t="shared" si="230"/>
        <v>0</v>
      </c>
      <c r="L609" s="471">
        <f t="shared" si="230"/>
        <v>0</v>
      </c>
      <c r="M609" s="481">
        <f t="shared" si="230"/>
        <v>0</v>
      </c>
      <c r="N609" s="491">
        <f t="shared" si="230"/>
        <v>0</v>
      </c>
    </row>
    <row r="610" spans="1:14" ht="27.75" customHeight="1">
      <c r="A610" s="63"/>
      <c r="B610" s="1"/>
      <c r="C610" s="1"/>
      <c r="D610" s="1" t="s">
        <v>232</v>
      </c>
      <c r="E610" s="16" t="s">
        <v>403</v>
      </c>
      <c r="F610" s="61">
        <f>F611</f>
        <v>1200</v>
      </c>
      <c r="G610" s="451">
        <f aca="true" t="shared" si="231" ref="G610:N610">G611</f>
        <v>0</v>
      </c>
      <c r="H610" s="141">
        <f t="shared" si="231"/>
        <v>0</v>
      </c>
      <c r="I610" s="461">
        <f t="shared" si="231"/>
        <v>1200</v>
      </c>
      <c r="J610" s="89">
        <f t="shared" si="231"/>
        <v>0</v>
      </c>
      <c r="K610" s="93">
        <f t="shared" si="231"/>
        <v>0</v>
      </c>
      <c r="L610" s="471">
        <f t="shared" si="231"/>
        <v>0</v>
      </c>
      <c r="M610" s="481">
        <f t="shared" si="231"/>
        <v>0</v>
      </c>
      <c r="N610" s="491">
        <f t="shared" si="231"/>
        <v>0</v>
      </c>
    </row>
    <row r="611" spans="1:14" ht="12.75">
      <c r="A611" s="63"/>
      <c r="B611" s="1"/>
      <c r="C611" s="1"/>
      <c r="D611" s="1" t="s">
        <v>131</v>
      </c>
      <c r="E611" s="16" t="s">
        <v>662</v>
      </c>
      <c r="F611" s="61">
        <f>F612+F613+F614</f>
        <v>1200</v>
      </c>
      <c r="G611" s="451">
        <f aca="true" t="shared" si="232" ref="G611:N611">G612+G613+G614</f>
        <v>0</v>
      </c>
      <c r="H611" s="141">
        <f t="shared" si="232"/>
        <v>0</v>
      </c>
      <c r="I611" s="461">
        <f t="shared" si="232"/>
        <v>1200</v>
      </c>
      <c r="J611" s="89">
        <f t="shared" si="232"/>
        <v>0</v>
      </c>
      <c r="K611" s="93">
        <f t="shared" si="232"/>
        <v>0</v>
      </c>
      <c r="L611" s="471">
        <f t="shared" si="232"/>
        <v>0</v>
      </c>
      <c r="M611" s="481">
        <f t="shared" si="232"/>
        <v>0</v>
      </c>
      <c r="N611" s="491">
        <f t="shared" si="232"/>
        <v>0</v>
      </c>
    </row>
    <row r="612" spans="1:14" ht="12.75">
      <c r="A612" s="63"/>
      <c r="B612" s="1"/>
      <c r="C612" s="1" t="s">
        <v>368</v>
      </c>
      <c r="D612" s="1"/>
      <c r="E612" s="16" t="s">
        <v>1034</v>
      </c>
      <c r="F612" s="61">
        <f>G612+H612+I612+J612+K612+L612+M612+N612</f>
        <v>400</v>
      </c>
      <c r="G612" s="451"/>
      <c r="H612" s="141"/>
      <c r="I612" s="461">
        <v>400</v>
      </c>
      <c r="J612" s="89"/>
      <c r="K612" s="93"/>
      <c r="L612" s="471"/>
      <c r="M612" s="481"/>
      <c r="N612" s="491"/>
    </row>
    <row r="613" spans="1:14" ht="12.75">
      <c r="A613" s="63"/>
      <c r="B613" s="1"/>
      <c r="C613" s="1" t="s">
        <v>369</v>
      </c>
      <c r="D613" s="1"/>
      <c r="E613" s="16" t="s">
        <v>1035</v>
      </c>
      <c r="F613" s="61">
        <f>G613+H613+I613+J613+K613+L613+M613+N613</f>
        <v>400</v>
      </c>
      <c r="G613" s="451"/>
      <c r="H613" s="141"/>
      <c r="I613" s="461">
        <v>400</v>
      </c>
      <c r="J613" s="89"/>
      <c r="K613" s="93"/>
      <c r="L613" s="471"/>
      <c r="M613" s="481"/>
      <c r="N613" s="491"/>
    </row>
    <row r="614" spans="1:14" ht="12.75">
      <c r="A614" s="63"/>
      <c r="B614" s="1"/>
      <c r="C614" s="1" t="s">
        <v>370</v>
      </c>
      <c r="D614" s="1"/>
      <c r="E614" s="16" t="s">
        <v>1036</v>
      </c>
      <c r="F614" s="61">
        <f>G614+H614+I614+J614+K614+L614+M614+N614</f>
        <v>400</v>
      </c>
      <c r="G614" s="451"/>
      <c r="H614" s="141"/>
      <c r="I614" s="461">
        <v>400</v>
      </c>
      <c r="J614" s="89"/>
      <c r="K614" s="93"/>
      <c r="L614" s="471"/>
      <c r="M614" s="481"/>
      <c r="N614" s="491"/>
    </row>
    <row r="615" spans="1:14" ht="26.25" customHeight="1">
      <c r="A615" s="63"/>
      <c r="B615" s="1"/>
      <c r="C615" s="1"/>
      <c r="D615" s="1" t="s">
        <v>232</v>
      </c>
      <c r="E615" s="16" t="s">
        <v>403</v>
      </c>
      <c r="F615" s="61">
        <f>F616</f>
        <v>400</v>
      </c>
      <c r="G615" s="451">
        <f aca="true" t="shared" si="233" ref="G615:N616">G616</f>
        <v>0</v>
      </c>
      <c r="H615" s="141">
        <f t="shared" si="233"/>
        <v>0</v>
      </c>
      <c r="I615" s="461">
        <f t="shared" si="233"/>
        <v>400</v>
      </c>
      <c r="J615" s="89">
        <f t="shared" si="233"/>
        <v>0</v>
      </c>
      <c r="K615" s="93">
        <f t="shared" si="233"/>
        <v>0</v>
      </c>
      <c r="L615" s="471">
        <f t="shared" si="233"/>
        <v>0</v>
      </c>
      <c r="M615" s="481">
        <f t="shared" si="233"/>
        <v>0</v>
      </c>
      <c r="N615" s="491">
        <f t="shared" si="233"/>
        <v>0</v>
      </c>
    </row>
    <row r="616" spans="1:14" ht="12.75">
      <c r="A616" s="63"/>
      <c r="B616" s="1"/>
      <c r="C616" s="1"/>
      <c r="D616" s="1" t="s">
        <v>132</v>
      </c>
      <c r="E616" s="16" t="s">
        <v>251</v>
      </c>
      <c r="F616" s="61">
        <f>F617</f>
        <v>400</v>
      </c>
      <c r="G616" s="451">
        <f t="shared" si="233"/>
        <v>0</v>
      </c>
      <c r="H616" s="141">
        <f t="shared" si="233"/>
        <v>0</v>
      </c>
      <c r="I616" s="461">
        <f t="shared" si="233"/>
        <v>400</v>
      </c>
      <c r="J616" s="89">
        <f t="shared" si="233"/>
        <v>0</v>
      </c>
      <c r="K616" s="93">
        <f t="shared" si="233"/>
        <v>0</v>
      </c>
      <c r="L616" s="471">
        <f t="shared" si="233"/>
        <v>0</v>
      </c>
      <c r="M616" s="481">
        <f t="shared" si="233"/>
        <v>0</v>
      </c>
      <c r="N616" s="491">
        <f t="shared" si="233"/>
        <v>0</v>
      </c>
    </row>
    <row r="617" spans="1:14" ht="12.75">
      <c r="A617" s="63"/>
      <c r="B617" s="1"/>
      <c r="C617" s="1" t="s">
        <v>371</v>
      </c>
      <c r="D617" s="1"/>
      <c r="E617" s="16" t="s">
        <v>1037</v>
      </c>
      <c r="F617" s="61">
        <f>G617+H617+I617+J617+K617+L617+M617+N617</f>
        <v>400</v>
      </c>
      <c r="G617" s="451"/>
      <c r="H617" s="141"/>
      <c r="I617" s="461">
        <v>400</v>
      </c>
      <c r="J617" s="89"/>
      <c r="K617" s="93"/>
      <c r="L617" s="471"/>
      <c r="M617" s="481"/>
      <c r="N617" s="491"/>
    </row>
    <row r="618" spans="1:14" ht="12.75">
      <c r="A618" s="63"/>
      <c r="B618" s="1"/>
      <c r="C618" s="1" t="s">
        <v>356</v>
      </c>
      <c r="D618" s="1"/>
      <c r="E618" s="16" t="s">
        <v>358</v>
      </c>
      <c r="F618" s="61">
        <f>F619</f>
        <v>300</v>
      </c>
      <c r="G618" s="451">
        <f aca="true" t="shared" si="234" ref="G618:N620">G619</f>
        <v>300</v>
      </c>
      <c r="H618" s="141">
        <f t="shared" si="234"/>
        <v>0</v>
      </c>
      <c r="I618" s="461">
        <f t="shared" si="234"/>
        <v>0</v>
      </c>
      <c r="J618" s="89">
        <f t="shared" si="234"/>
        <v>0</v>
      </c>
      <c r="K618" s="93">
        <f t="shared" si="234"/>
        <v>0</v>
      </c>
      <c r="L618" s="471">
        <f t="shared" si="234"/>
        <v>0</v>
      </c>
      <c r="M618" s="481">
        <f t="shared" si="234"/>
        <v>0</v>
      </c>
      <c r="N618" s="491">
        <f t="shared" si="234"/>
        <v>0</v>
      </c>
    </row>
    <row r="619" spans="1:14" ht="25.5">
      <c r="A619" s="63"/>
      <c r="B619" s="1"/>
      <c r="C619" s="1" t="s">
        <v>357</v>
      </c>
      <c r="D619" s="1"/>
      <c r="E619" s="16" t="s">
        <v>359</v>
      </c>
      <c r="F619" s="61">
        <f>F620</f>
        <v>300</v>
      </c>
      <c r="G619" s="451">
        <f t="shared" si="234"/>
        <v>300</v>
      </c>
      <c r="H619" s="141">
        <f t="shared" si="234"/>
        <v>0</v>
      </c>
      <c r="I619" s="461">
        <f t="shared" si="234"/>
        <v>0</v>
      </c>
      <c r="J619" s="89">
        <f t="shared" si="234"/>
        <v>0</v>
      </c>
      <c r="K619" s="93">
        <f t="shared" si="234"/>
        <v>0</v>
      </c>
      <c r="L619" s="471">
        <f t="shared" si="234"/>
        <v>0</v>
      </c>
      <c r="M619" s="481">
        <f t="shared" si="234"/>
        <v>0</v>
      </c>
      <c r="N619" s="491">
        <f t="shared" si="234"/>
        <v>0</v>
      </c>
    </row>
    <row r="620" spans="1:14" ht="26.25" customHeight="1">
      <c r="A620" s="63"/>
      <c r="B620" s="1"/>
      <c r="C620" s="1"/>
      <c r="D620" s="1" t="s">
        <v>232</v>
      </c>
      <c r="E620" s="16" t="s">
        <v>403</v>
      </c>
      <c r="F620" s="61">
        <f>F621</f>
        <v>300</v>
      </c>
      <c r="G620" s="451">
        <f t="shared" si="234"/>
        <v>300</v>
      </c>
      <c r="H620" s="141">
        <f t="shared" si="234"/>
        <v>0</v>
      </c>
      <c r="I620" s="461">
        <f t="shared" si="234"/>
        <v>0</v>
      </c>
      <c r="J620" s="89">
        <f t="shared" si="234"/>
        <v>0</v>
      </c>
      <c r="K620" s="93">
        <f t="shared" si="234"/>
        <v>0</v>
      </c>
      <c r="L620" s="471">
        <f t="shared" si="234"/>
        <v>0</v>
      </c>
      <c r="M620" s="481">
        <f t="shared" si="234"/>
        <v>0</v>
      </c>
      <c r="N620" s="491">
        <f t="shared" si="234"/>
        <v>0</v>
      </c>
    </row>
    <row r="621" spans="1:14" ht="12.75">
      <c r="A621" s="63"/>
      <c r="B621" s="1"/>
      <c r="C621" s="1"/>
      <c r="D621" s="1" t="s">
        <v>131</v>
      </c>
      <c r="E621" s="16" t="s">
        <v>252</v>
      </c>
      <c r="F621" s="61">
        <f aca="true" t="shared" si="235" ref="F621:F626">G621+H621+I621+J621+K621+L621+M621+N621</f>
        <v>300</v>
      </c>
      <c r="G621" s="452">
        <v>300</v>
      </c>
      <c r="H621" s="142"/>
      <c r="I621" s="462"/>
      <c r="J621" s="90"/>
      <c r="K621" s="94"/>
      <c r="L621" s="474"/>
      <c r="M621" s="482"/>
      <c r="N621" s="494"/>
    </row>
    <row r="622" spans="1:14" ht="12.75">
      <c r="A622" s="63"/>
      <c r="B622" s="1"/>
      <c r="C622" s="1" t="s">
        <v>76</v>
      </c>
      <c r="D622" s="1"/>
      <c r="E622" s="16" t="s">
        <v>77</v>
      </c>
      <c r="F622" s="61">
        <f t="shared" si="235"/>
        <v>-3935.3</v>
      </c>
      <c r="G622" s="452">
        <f>G623</f>
        <v>0</v>
      </c>
      <c r="H622" s="142">
        <f aca="true" t="shared" si="236" ref="H622:N623">H623</f>
        <v>0</v>
      </c>
      <c r="I622" s="462">
        <f t="shared" si="236"/>
        <v>0</v>
      </c>
      <c r="J622" s="90">
        <f t="shared" si="236"/>
        <v>-3935.3</v>
      </c>
      <c r="K622" s="94">
        <f t="shared" si="236"/>
        <v>0</v>
      </c>
      <c r="L622" s="474">
        <f t="shared" si="236"/>
        <v>0</v>
      </c>
      <c r="M622" s="482">
        <f t="shared" si="236"/>
        <v>0</v>
      </c>
      <c r="N622" s="494">
        <f t="shared" si="236"/>
        <v>0</v>
      </c>
    </row>
    <row r="623" spans="1:14" ht="12.75">
      <c r="A623" s="63"/>
      <c r="B623" s="1"/>
      <c r="C623" s="1" t="s">
        <v>253</v>
      </c>
      <c r="D623" s="1"/>
      <c r="E623" s="16" t="s">
        <v>254</v>
      </c>
      <c r="F623" s="61">
        <f t="shared" si="235"/>
        <v>-3935.3</v>
      </c>
      <c r="G623" s="452">
        <f>G624</f>
        <v>0</v>
      </c>
      <c r="H623" s="142">
        <f t="shared" si="236"/>
        <v>0</v>
      </c>
      <c r="I623" s="462">
        <f t="shared" si="236"/>
        <v>0</v>
      </c>
      <c r="J623" s="90">
        <f t="shared" si="236"/>
        <v>-3935.3</v>
      </c>
      <c r="K623" s="94">
        <f t="shared" si="236"/>
        <v>0</v>
      </c>
      <c r="L623" s="474">
        <f t="shared" si="236"/>
        <v>0</v>
      </c>
      <c r="M623" s="482">
        <f t="shared" si="236"/>
        <v>0</v>
      </c>
      <c r="N623" s="494">
        <f t="shared" si="236"/>
        <v>0</v>
      </c>
    </row>
    <row r="624" spans="1:14" ht="26.25" customHeight="1">
      <c r="A624" s="63"/>
      <c r="B624" s="1"/>
      <c r="C624" s="1"/>
      <c r="D624" s="1" t="s">
        <v>232</v>
      </c>
      <c r="E624" s="16" t="s">
        <v>403</v>
      </c>
      <c r="F624" s="61">
        <f t="shared" si="235"/>
        <v>-3935.3</v>
      </c>
      <c r="G624" s="452">
        <f>G625+G626</f>
        <v>0</v>
      </c>
      <c r="H624" s="142">
        <f aca="true" t="shared" si="237" ref="H624:N624">H625+H626</f>
        <v>0</v>
      </c>
      <c r="I624" s="462">
        <f t="shared" si="237"/>
        <v>0</v>
      </c>
      <c r="J624" s="90">
        <f t="shared" si="237"/>
        <v>-3935.3</v>
      </c>
      <c r="K624" s="94">
        <f t="shared" si="237"/>
        <v>0</v>
      </c>
      <c r="L624" s="474">
        <f t="shared" si="237"/>
        <v>0</v>
      </c>
      <c r="M624" s="482">
        <f t="shared" si="237"/>
        <v>0</v>
      </c>
      <c r="N624" s="494">
        <f t="shared" si="237"/>
        <v>0</v>
      </c>
    </row>
    <row r="625" spans="1:14" ht="12.75">
      <c r="A625" s="63"/>
      <c r="B625" s="1"/>
      <c r="C625" s="1"/>
      <c r="D625" s="1" t="s">
        <v>132</v>
      </c>
      <c r="E625" s="16" t="s">
        <v>251</v>
      </c>
      <c r="F625" s="61">
        <f t="shared" si="235"/>
        <v>-953.094</v>
      </c>
      <c r="G625" s="452"/>
      <c r="H625" s="142"/>
      <c r="I625" s="462"/>
      <c r="J625" s="90">
        <v>-953.094</v>
      </c>
      <c r="K625" s="94"/>
      <c r="L625" s="474"/>
      <c r="M625" s="482"/>
      <c r="N625" s="494"/>
    </row>
    <row r="626" spans="1:14" ht="12.75">
      <c r="A626" s="63"/>
      <c r="B626" s="1"/>
      <c r="C626" s="1"/>
      <c r="D626" s="1" t="s">
        <v>131</v>
      </c>
      <c r="E626" s="16" t="s">
        <v>252</v>
      </c>
      <c r="F626" s="61">
        <f t="shared" si="235"/>
        <v>-2982.206</v>
      </c>
      <c r="G626" s="452"/>
      <c r="H626" s="142"/>
      <c r="I626" s="462"/>
      <c r="J626" s="90">
        <v>-2982.206</v>
      </c>
      <c r="K626" s="94"/>
      <c r="L626" s="474"/>
      <c r="M626" s="482"/>
      <c r="N626" s="494"/>
    </row>
    <row r="627" spans="1:14" ht="12.75">
      <c r="A627" s="63"/>
      <c r="B627" s="1"/>
      <c r="C627" s="1" t="s">
        <v>382</v>
      </c>
      <c r="D627" s="1"/>
      <c r="E627" s="16" t="s">
        <v>384</v>
      </c>
      <c r="F627" s="61">
        <f>F628</f>
        <v>3383.8</v>
      </c>
      <c r="G627" s="451">
        <f aca="true" t="shared" si="238" ref="G627:N629">G628</f>
        <v>3383.8</v>
      </c>
      <c r="H627" s="141">
        <f t="shared" si="238"/>
        <v>0</v>
      </c>
      <c r="I627" s="461">
        <f t="shared" si="238"/>
        <v>0</v>
      </c>
      <c r="J627" s="89">
        <f t="shared" si="238"/>
        <v>0</v>
      </c>
      <c r="K627" s="93">
        <f t="shared" si="238"/>
        <v>0</v>
      </c>
      <c r="L627" s="471">
        <f t="shared" si="238"/>
        <v>0</v>
      </c>
      <c r="M627" s="481">
        <f t="shared" si="238"/>
        <v>0</v>
      </c>
      <c r="N627" s="491">
        <f t="shared" si="238"/>
        <v>0</v>
      </c>
    </row>
    <row r="628" spans="1:14" ht="38.25">
      <c r="A628" s="63"/>
      <c r="B628" s="1"/>
      <c r="C628" s="1" t="s">
        <v>383</v>
      </c>
      <c r="D628" s="1"/>
      <c r="E628" s="16" t="s">
        <v>385</v>
      </c>
      <c r="F628" s="61">
        <f>F629</f>
        <v>3383.8</v>
      </c>
      <c r="G628" s="451">
        <f t="shared" si="238"/>
        <v>3383.8</v>
      </c>
      <c r="H628" s="141">
        <f t="shared" si="238"/>
        <v>0</v>
      </c>
      <c r="I628" s="461">
        <f t="shared" si="238"/>
        <v>0</v>
      </c>
      <c r="J628" s="89">
        <f t="shared" si="238"/>
        <v>0</v>
      </c>
      <c r="K628" s="93">
        <f t="shared" si="238"/>
        <v>0</v>
      </c>
      <c r="L628" s="471">
        <f t="shared" si="238"/>
        <v>0</v>
      </c>
      <c r="M628" s="481">
        <f t="shared" si="238"/>
        <v>0</v>
      </c>
      <c r="N628" s="491">
        <f t="shared" si="238"/>
        <v>0</v>
      </c>
    </row>
    <row r="629" spans="1:14" ht="25.5" customHeight="1">
      <c r="A629" s="63"/>
      <c r="B629" s="1"/>
      <c r="C629" s="1"/>
      <c r="D629" s="1" t="s">
        <v>232</v>
      </c>
      <c r="E629" s="16" t="s">
        <v>403</v>
      </c>
      <c r="F629" s="61">
        <f>F630</f>
        <v>3383.8</v>
      </c>
      <c r="G629" s="451">
        <f t="shared" si="238"/>
        <v>3383.8</v>
      </c>
      <c r="H629" s="141">
        <f t="shared" si="238"/>
        <v>0</v>
      </c>
      <c r="I629" s="461">
        <f t="shared" si="238"/>
        <v>0</v>
      </c>
      <c r="J629" s="89">
        <f t="shared" si="238"/>
        <v>0</v>
      </c>
      <c r="K629" s="93">
        <f t="shared" si="238"/>
        <v>0</v>
      </c>
      <c r="L629" s="471">
        <f t="shared" si="238"/>
        <v>0</v>
      </c>
      <c r="M629" s="481">
        <f t="shared" si="238"/>
        <v>0</v>
      </c>
      <c r="N629" s="491">
        <f t="shared" si="238"/>
        <v>0</v>
      </c>
    </row>
    <row r="630" spans="1:14" ht="12.75">
      <c r="A630" s="63"/>
      <c r="B630" s="1"/>
      <c r="C630" s="1"/>
      <c r="D630" s="1" t="s">
        <v>131</v>
      </c>
      <c r="E630" s="16" t="s">
        <v>252</v>
      </c>
      <c r="F630" s="61">
        <f aca="true" t="shared" si="239" ref="F630:F645">G630+H630+I630+J630+K630+L630+M630+N630</f>
        <v>3383.8</v>
      </c>
      <c r="G630" s="452">
        <v>3383.8</v>
      </c>
      <c r="H630" s="142"/>
      <c r="I630" s="462"/>
      <c r="J630" s="90"/>
      <c r="K630" s="94"/>
      <c r="L630" s="474"/>
      <c r="M630" s="482"/>
      <c r="N630" s="494"/>
    </row>
    <row r="631" spans="1:14" ht="12.75">
      <c r="A631" s="63"/>
      <c r="B631" s="63"/>
      <c r="C631" s="1" t="s">
        <v>37</v>
      </c>
      <c r="D631" s="1"/>
      <c r="E631" s="16" t="s">
        <v>38</v>
      </c>
      <c r="F631" s="61">
        <f t="shared" si="239"/>
        <v>11380.33</v>
      </c>
      <c r="G631" s="452">
        <f>G632+G637</f>
        <v>0</v>
      </c>
      <c r="H631" s="142">
        <f aca="true" t="shared" si="240" ref="H631:N631">H632+H637</f>
        <v>0</v>
      </c>
      <c r="I631" s="462">
        <f t="shared" si="240"/>
        <v>0</v>
      </c>
      <c r="J631" s="90">
        <f t="shared" si="240"/>
        <v>11110.5</v>
      </c>
      <c r="K631" s="94">
        <f t="shared" si="240"/>
        <v>0</v>
      </c>
      <c r="L631" s="474">
        <f t="shared" si="240"/>
        <v>0</v>
      </c>
      <c r="M631" s="482">
        <f t="shared" si="240"/>
        <v>269.83000000000004</v>
      </c>
      <c r="N631" s="494">
        <f t="shared" si="240"/>
        <v>0</v>
      </c>
    </row>
    <row r="632" spans="1:14" ht="25.5">
      <c r="A632" s="63"/>
      <c r="B632" s="63"/>
      <c r="C632" s="1" t="s">
        <v>209</v>
      </c>
      <c r="D632" s="1"/>
      <c r="E632" s="16" t="s">
        <v>3</v>
      </c>
      <c r="F632" s="61">
        <f t="shared" si="239"/>
        <v>269.83000000000004</v>
      </c>
      <c r="G632" s="452">
        <f>G633</f>
        <v>0</v>
      </c>
      <c r="H632" s="142">
        <f aca="true" t="shared" si="241" ref="H632:N633">H633</f>
        <v>0</v>
      </c>
      <c r="I632" s="462">
        <f t="shared" si="241"/>
        <v>0</v>
      </c>
      <c r="J632" s="90">
        <f t="shared" si="241"/>
        <v>0</v>
      </c>
      <c r="K632" s="94">
        <f t="shared" si="241"/>
        <v>0</v>
      </c>
      <c r="L632" s="474">
        <f t="shared" si="241"/>
        <v>0</v>
      </c>
      <c r="M632" s="482">
        <f t="shared" si="241"/>
        <v>269.83000000000004</v>
      </c>
      <c r="N632" s="494">
        <f t="shared" si="241"/>
        <v>0</v>
      </c>
    </row>
    <row r="633" spans="1:14" ht="12.75">
      <c r="A633" s="63"/>
      <c r="B633" s="63"/>
      <c r="C633" s="1" t="s">
        <v>177</v>
      </c>
      <c r="D633" s="1"/>
      <c r="E633" s="16" t="s">
        <v>166</v>
      </c>
      <c r="F633" s="61">
        <f t="shared" si="239"/>
        <v>269.83000000000004</v>
      </c>
      <c r="G633" s="452">
        <f>G634</f>
        <v>0</v>
      </c>
      <c r="H633" s="142">
        <f t="shared" si="241"/>
        <v>0</v>
      </c>
      <c r="I633" s="462">
        <f t="shared" si="241"/>
        <v>0</v>
      </c>
      <c r="J633" s="90">
        <f t="shared" si="241"/>
        <v>0</v>
      </c>
      <c r="K633" s="94">
        <f t="shared" si="241"/>
        <v>0</v>
      </c>
      <c r="L633" s="474">
        <f t="shared" si="241"/>
        <v>0</v>
      </c>
      <c r="M633" s="482">
        <f t="shared" si="241"/>
        <v>269.83000000000004</v>
      </c>
      <c r="N633" s="494">
        <f t="shared" si="241"/>
        <v>0</v>
      </c>
    </row>
    <row r="634" spans="1:14" ht="27" customHeight="1">
      <c r="A634" s="63"/>
      <c r="B634" s="63"/>
      <c r="C634" s="1"/>
      <c r="D634" s="1" t="s">
        <v>232</v>
      </c>
      <c r="E634" s="48" t="s">
        <v>403</v>
      </c>
      <c r="F634" s="61">
        <f t="shared" si="239"/>
        <v>269.83000000000004</v>
      </c>
      <c r="G634" s="452">
        <f>G635+G636</f>
        <v>0</v>
      </c>
      <c r="H634" s="142">
        <f aca="true" t="shared" si="242" ref="H634:N634">H635+H636</f>
        <v>0</v>
      </c>
      <c r="I634" s="462">
        <f t="shared" si="242"/>
        <v>0</v>
      </c>
      <c r="J634" s="90">
        <f t="shared" si="242"/>
        <v>0</v>
      </c>
      <c r="K634" s="94">
        <f t="shared" si="242"/>
        <v>0</v>
      </c>
      <c r="L634" s="474">
        <f t="shared" si="242"/>
        <v>0</v>
      </c>
      <c r="M634" s="482">
        <f t="shared" si="242"/>
        <v>269.83000000000004</v>
      </c>
      <c r="N634" s="494">
        <f t="shared" si="242"/>
        <v>0</v>
      </c>
    </row>
    <row r="635" spans="1:14" ht="12.75">
      <c r="A635" s="63"/>
      <c r="B635" s="63"/>
      <c r="C635" s="1"/>
      <c r="D635" s="1" t="s">
        <v>132</v>
      </c>
      <c r="E635" s="16" t="s">
        <v>251</v>
      </c>
      <c r="F635" s="61">
        <f t="shared" si="239"/>
        <v>191.4</v>
      </c>
      <c r="G635" s="452"/>
      <c r="H635" s="142"/>
      <c r="I635" s="462"/>
      <c r="J635" s="90"/>
      <c r="K635" s="94"/>
      <c r="L635" s="474"/>
      <c r="M635" s="482">
        <v>191.4</v>
      </c>
      <c r="N635" s="494"/>
    </row>
    <row r="636" spans="1:14" ht="12.75">
      <c r="A636" s="63"/>
      <c r="B636" s="63"/>
      <c r="C636" s="59"/>
      <c r="D636" s="1" t="s">
        <v>131</v>
      </c>
      <c r="E636" s="16" t="s">
        <v>252</v>
      </c>
      <c r="F636" s="61">
        <f t="shared" si="239"/>
        <v>78.43</v>
      </c>
      <c r="G636" s="452"/>
      <c r="H636" s="142"/>
      <c r="I636" s="462"/>
      <c r="J636" s="90"/>
      <c r="K636" s="94"/>
      <c r="L636" s="474"/>
      <c r="M636" s="482">
        <v>78.43</v>
      </c>
      <c r="N636" s="494"/>
    </row>
    <row r="637" spans="1:14" ht="25.5">
      <c r="A637" s="63"/>
      <c r="B637" s="63"/>
      <c r="C637" s="59" t="s">
        <v>310</v>
      </c>
      <c r="D637" s="1"/>
      <c r="E637" s="16" t="s">
        <v>79</v>
      </c>
      <c r="F637" s="61">
        <f t="shared" si="239"/>
        <v>11110.5</v>
      </c>
      <c r="G637" s="452">
        <f>G638</f>
        <v>0</v>
      </c>
      <c r="H637" s="142">
        <f aca="true" t="shared" si="243" ref="H637:N639">H638</f>
        <v>0</v>
      </c>
      <c r="I637" s="462">
        <f t="shared" si="243"/>
        <v>0</v>
      </c>
      <c r="J637" s="90">
        <f t="shared" si="243"/>
        <v>11110.5</v>
      </c>
      <c r="K637" s="94">
        <f t="shared" si="243"/>
        <v>0</v>
      </c>
      <c r="L637" s="474">
        <f t="shared" si="243"/>
        <v>0</v>
      </c>
      <c r="M637" s="482">
        <f t="shared" si="243"/>
        <v>0</v>
      </c>
      <c r="N637" s="494">
        <f t="shared" si="243"/>
        <v>0</v>
      </c>
    </row>
    <row r="638" spans="1:14" ht="51">
      <c r="A638" s="63"/>
      <c r="B638" s="63"/>
      <c r="C638" s="1" t="s">
        <v>112</v>
      </c>
      <c r="D638" s="1"/>
      <c r="E638" s="16" t="s">
        <v>113</v>
      </c>
      <c r="F638" s="61">
        <f t="shared" si="239"/>
        <v>11110.5</v>
      </c>
      <c r="G638" s="452">
        <f>G639</f>
        <v>0</v>
      </c>
      <c r="H638" s="142">
        <f t="shared" si="243"/>
        <v>0</v>
      </c>
      <c r="I638" s="462">
        <f t="shared" si="243"/>
        <v>0</v>
      </c>
      <c r="J638" s="90">
        <f t="shared" si="243"/>
        <v>11110.5</v>
      </c>
      <c r="K638" s="94">
        <f t="shared" si="243"/>
        <v>0</v>
      </c>
      <c r="L638" s="474">
        <f t="shared" si="243"/>
        <v>0</v>
      </c>
      <c r="M638" s="482">
        <f t="shared" si="243"/>
        <v>0</v>
      </c>
      <c r="N638" s="494">
        <f t="shared" si="243"/>
        <v>0</v>
      </c>
    </row>
    <row r="639" spans="1:14" ht="27.75" customHeight="1">
      <c r="A639" s="63"/>
      <c r="B639" s="63"/>
      <c r="C639" s="1"/>
      <c r="D639" s="1" t="s">
        <v>232</v>
      </c>
      <c r="E639" s="48" t="s">
        <v>403</v>
      </c>
      <c r="F639" s="61">
        <f t="shared" si="239"/>
        <v>11110.5</v>
      </c>
      <c r="G639" s="452">
        <f>G640</f>
        <v>0</v>
      </c>
      <c r="H639" s="142">
        <f t="shared" si="243"/>
        <v>0</v>
      </c>
      <c r="I639" s="462">
        <f t="shared" si="243"/>
        <v>0</v>
      </c>
      <c r="J639" s="90">
        <f t="shared" si="243"/>
        <v>11110.5</v>
      </c>
      <c r="K639" s="94">
        <f t="shared" si="243"/>
        <v>0</v>
      </c>
      <c r="L639" s="474">
        <f t="shared" si="243"/>
        <v>0</v>
      </c>
      <c r="M639" s="482">
        <f t="shared" si="243"/>
        <v>0</v>
      </c>
      <c r="N639" s="494">
        <f t="shared" si="243"/>
        <v>0</v>
      </c>
    </row>
    <row r="640" spans="1:14" ht="12.75">
      <c r="A640" s="63"/>
      <c r="B640" s="63"/>
      <c r="C640" s="1"/>
      <c r="D640" s="1" t="s">
        <v>132</v>
      </c>
      <c r="E640" s="16" t="s">
        <v>251</v>
      </c>
      <c r="F640" s="61">
        <f t="shared" si="239"/>
        <v>11110.5</v>
      </c>
      <c r="G640" s="452"/>
      <c r="H640" s="142"/>
      <c r="I640" s="462"/>
      <c r="J640" s="90">
        <v>11110.5</v>
      </c>
      <c r="K640" s="94"/>
      <c r="L640" s="474"/>
      <c r="M640" s="482"/>
      <c r="N640" s="494"/>
    </row>
    <row r="641" spans="1:14" ht="12.75">
      <c r="A641" s="63"/>
      <c r="B641" s="63"/>
      <c r="C641" s="59" t="s">
        <v>311</v>
      </c>
      <c r="D641" s="1"/>
      <c r="E641" s="16" t="s">
        <v>106</v>
      </c>
      <c r="F641" s="61">
        <f t="shared" si="239"/>
        <v>8750.7</v>
      </c>
      <c r="G641" s="452">
        <f>G642</f>
        <v>0</v>
      </c>
      <c r="H641" s="142">
        <f aca="true" t="shared" si="244" ref="H641:N644">H642</f>
        <v>0</v>
      </c>
      <c r="I641" s="462">
        <f t="shared" si="244"/>
        <v>0</v>
      </c>
      <c r="J641" s="90">
        <f t="shared" si="244"/>
        <v>8750.7</v>
      </c>
      <c r="K641" s="94">
        <f t="shared" si="244"/>
        <v>0</v>
      </c>
      <c r="L641" s="474">
        <f t="shared" si="244"/>
        <v>0</v>
      </c>
      <c r="M641" s="482">
        <f t="shared" si="244"/>
        <v>0</v>
      </c>
      <c r="N641" s="494">
        <f t="shared" si="244"/>
        <v>0</v>
      </c>
    </row>
    <row r="642" spans="1:14" ht="25.5">
      <c r="A642" s="63"/>
      <c r="B642" s="63"/>
      <c r="C642" s="59" t="s">
        <v>313</v>
      </c>
      <c r="D642" s="1"/>
      <c r="E642" s="16" t="s">
        <v>314</v>
      </c>
      <c r="F642" s="61">
        <f t="shared" si="239"/>
        <v>8750.7</v>
      </c>
      <c r="G642" s="452">
        <f>G643</f>
        <v>0</v>
      </c>
      <c r="H642" s="142">
        <f t="shared" si="244"/>
        <v>0</v>
      </c>
      <c r="I642" s="462">
        <f t="shared" si="244"/>
        <v>0</v>
      </c>
      <c r="J642" s="90">
        <f t="shared" si="244"/>
        <v>8750.7</v>
      </c>
      <c r="K642" s="94">
        <f t="shared" si="244"/>
        <v>0</v>
      </c>
      <c r="L642" s="474">
        <f t="shared" si="244"/>
        <v>0</v>
      </c>
      <c r="M642" s="482">
        <f t="shared" si="244"/>
        <v>0</v>
      </c>
      <c r="N642" s="494">
        <f t="shared" si="244"/>
        <v>0</v>
      </c>
    </row>
    <row r="643" spans="1:14" ht="12.75">
      <c r="A643" s="63"/>
      <c r="B643" s="63"/>
      <c r="C643" s="59" t="s">
        <v>312</v>
      </c>
      <c r="D643" s="1"/>
      <c r="E643" s="16" t="s">
        <v>189</v>
      </c>
      <c r="F643" s="61">
        <f t="shared" si="239"/>
        <v>8750.7</v>
      </c>
      <c r="G643" s="452">
        <f>G644</f>
        <v>0</v>
      </c>
      <c r="H643" s="142">
        <f t="shared" si="244"/>
        <v>0</v>
      </c>
      <c r="I643" s="462">
        <f t="shared" si="244"/>
        <v>0</v>
      </c>
      <c r="J643" s="90">
        <f t="shared" si="244"/>
        <v>8750.7</v>
      </c>
      <c r="K643" s="94">
        <f t="shared" si="244"/>
        <v>0</v>
      </c>
      <c r="L643" s="474">
        <f t="shared" si="244"/>
        <v>0</v>
      </c>
      <c r="M643" s="482">
        <f t="shared" si="244"/>
        <v>0</v>
      </c>
      <c r="N643" s="494">
        <f t="shared" si="244"/>
        <v>0</v>
      </c>
    </row>
    <row r="644" spans="1:14" ht="26.25" customHeight="1">
      <c r="A644" s="63"/>
      <c r="B644" s="63"/>
      <c r="C644" s="59"/>
      <c r="D644" s="1" t="s">
        <v>232</v>
      </c>
      <c r="E644" s="48" t="s">
        <v>403</v>
      </c>
      <c r="F644" s="61">
        <f t="shared" si="239"/>
        <v>8750.7</v>
      </c>
      <c r="G644" s="452">
        <f>G645</f>
        <v>0</v>
      </c>
      <c r="H644" s="142">
        <f t="shared" si="244"/>
        <v>0</v>
      </c>
      <c r="I644" s="462">
        <f t="shared" si="244"/>
        <v>0</v>
      </c>
      <c r="J644" s="90">
        <f t="shared" si="244"/>
        <v>8750.7</v>
      </c>
      <c r="K644" s="94">
        <f t="shared" si="244"/>
        <v>0</v>
      </c>
      <c r="L644" s="474">
        <f t="shared" si="244"/>
        <v>0</v>
      </c>
      <c r="M644" s="482">
        <f t="shared" si="244"/>
        <v>0</v>
      </c>
      <c r="N644" s="494">
        <f t="shared" si="244"/>
        <v>0</v>
      </c>
    </row>
    <row r="645" spans="1:14" ht="12.75">
      <c r="A645" s="63"/>
      <c r="B645" s="63"/>
      <c r="C645" s="59"/>
      <c r="D645" s="1" t="s">
        <v>131</v>
      </c>
      <c r="E645" s="16" t="s">
        <v>252</v>
      </c>
      <c r="F645" s="61">
        <f t="shared" si="239"/>
        <v>8750.7</v>
      </c>
      <c r="G645" s="452"/>
      <c r="H645" s="142"/>
      <c r="I645" s="462"/>
      <c r="J645" s="90">
        <v>8750.7</v>
      </c>
      <c r="K645" s="94"/>
      <c r="L645" s="474"/>
      <c r="M645" s="482"/>
      <c r="N645" s="494"/>
    </row>
    <row r="646" spans="1:14" ht="12.75">
      <c r="A646" s="63"/>
      <c r="B646" s="63"/>
      <c r="C646" s="1" t="s">
        <v>54</v>
      </c>
      <c r="D646" s="1"/>
      <c r="E646" s="16" t="s">
        <v>55</v>
      </c>
      <c r="F646" s="61">
        <f>F647</f>
        <v>214.5</v>
      </c>
      <c r="G646" s="451">
        <f aca="true" t="shared" si="245" ref="G646:N649">G647</f>
        <v>0</v>
      </c>
      <c r="H646" s="141">
        <f t="shared" si="245"/>
        <v>214.5</v>
      </c>
      <c r="I646" s="461">
        <f t="shared" si="245"/>
        <v>0</v>
      </c>
      <c r="J646" s="89">
        <f t="shared" si="245"/>
        <v>0</v>
      </c>
      <c r="K646" s="93">
        <f t="shared" si="245"/>
        <v>0</v>
      </c>
      <c r="L646" s="471">
        <f t="shared" si="245"/>
        <v>0</v>
      </c>
      <c r="M646" s="481">
        <f t="shared" si="245"/>
        <v>0</v>
      </c>
      <c r="N646" s="491">
        <f t="shared" si="245"/>
        <v>0</v>
      </c>
    </row>
    <row r="647" spans="1:14" ht="12.75">
      <c r="A647" s="63"/>
      <c r="B647" s="63"/>
      <c r="C647" s="1" t="s">
        <v>56</v>
      </c>
      <c r="D647" s="1"/>
      <c r="E647" s="16" t="s">
        <v>57</v>
      </c>
      <c r="F647" s="61">
        <f>F648+F651</f>
        <v>214.5</v>
      </c>
      <c r="G647" s="451">
        <f aca="true" t="shared" si="246" ref="G647:N647">G648+G651</f>
        <v>0</v>
      </c>
      <c r="H647" s="141">
        <f t="shared" si="246"/>
        <v>214.5</v>
      </c>
      <c r="I647" s="461">
        <f t="shared" si="246"/>
        <v>0</v>
      </c>
      <c r="J647" s="89">
        <f t="shared" si="246"/>
        <v>0</v>
      </c>
      <c r="K647" s="93">
        <f t="shared" si="246"/>
        <v>0</v>
      </c>
      <c r="L647" s="471">
        <f t="shared" si="246"/>
        <v>0</v>
      </c>
      <c r="M647" s="481">
        <f t="shared" si="246"/>
        <v>0</v>
      </c>
      <c r="N647" s="491">
        <f t="shared" si="246"/>
        <v>0</v>
      </c>
    </row>
    <row r="648" spans="1:14" ht="25.5" customHeight="1">
      <c r="A648" s="63"/>
      <c r="B648" s="63"/>
      <c r="C648" s="59" t="s">
        <v>58</v>
      </c>
      <c r="D648" s="1"/>
      <c r="E648" s="16" t="s">
        <v>220</v>
      </c>
      <c r="F648" s="61">
        <f>F649</f>
        <v>154.5</v>
      </c>
      <c r="G648" s="451">
        <f t="shared" si="245"/>
        <v>0</v>
      </c>
      <c r="H648" s="141">
        <f t="shared" si="245"/>
        <v>154.5</v>
      </c>
      <c r="I648" s="461">
        <f t="shared" si="245"/>
        <v>0</v>
      </c>
      <c r="J648" s="89">
        <f t="shared" si="245"/>
        <v>0</v>
      </c>
      <c r="K648" s="93">
        <f t="shared" si="245"/>
        <v>0</v>
      </c>
      <c r="L648" s="471">
        <f t="shared" si="245"/>
        <v>0</v>
      </c>
      <c r="M648" s="481">
        <f t="shared" si="245"/>
        <v>0</v>
      </c>
      <c r="N648" s="491">
        <f t="shared" si="245"/>
        <v>0</v>
      </c>
    </row>
    <row r="649" spans="1:14" ht="28.5" customHeight="1">
      <c r="A649" s="63"/>
      <c r="B649" s="63"/>
      <c r="C649" s="59"/>
      <c r="D649" s="1" t="s">
        <v>232</v>
      </c>
      <c r="E649" s="16" t="s">
        <v>403</v>
      </c>
      <c r="F649" s="61">
        <f>F650</f>
        <v>154.5</v>
      </c>
      <c r="G649" s="451">
        <f t="shared" si="245"/>
        <v>0</v>
      </c>
      <c r="H649" s="141">
        <f t="shared" si="245"/>
        <v>154.5</v>
      </c>
      <c r="I649" s="461">
        <f t="shared" si="245"/>
        <v>0</v>
      </c>
      <c r="J649" s="89">
        <f t="shared" si="245"/>
        <v>0</v>
      </c>
      <c r="K649" s="93">
        <f t="shared" si="245"/>
        <v>0</v>
      </c>
      <c r="L649" s="471">
        <f t="shared" si="245"/>
        <v>0</v>
      </c>
      <c r="M649" s="481">
        <f t="shared" si="245"/>
        <v>0</v>
      </c>
      <c r="N649" s="491">
        <f t="shared" si="245"/>
        <v>0</v>
      </c>
    </row>
    <row r="650" spans="1:14" ht="12.75">
      <c r="A650" s="63"/>
      <c r="B650" s="63"/>
      <c r="C650" s="59"/>
      <c r="D650" s="1" t="s">
        <v>132</v>
      </c>
      <c r="E650" s="16" t="s">
        <v>251</v>
      </c>
      <c r="F650" s="61">
        <f>G650+H650+I650+J650+K650+L650+M650+N650</f>
        <v>154.5</v>
      </c>
      <c r="G650" s="452"/>
      <c r="H650" s="142">
        <v>154.5</v>
      </c>
      <c r="I650" s="462"/>
      <c r="J650" s="90"/>
      <c r="K650" s="94"/>
      <c r="L650" s="474"/>
      <c r="M650" s="482"/>
      <c r="N650" s="494"/>
    </row>
    <row r="651" spans="1:14" ht="25.5">
      <c r="A651" s="63"/>
      <c r="B651" s="63"/>
      <c r="C651" s="1" t="s">
        <v>287</v>
      </c>
      <c r="D651" s="1"/>
      <c r="E651" s="16" t="s">
        <v>185</v>
      </c>
      <c r="F651" s="61">
        <f>F652</f>
        <v>60</v>
      </c>
      <c r="G651" s="451">
        <f aca="true" t="shared" si="247" ref="G651:N651">G652</f>
        <v>0</v>
      </c>
      <c r="H651" s="141">
        <f t="shared" si="247"/>
        <v>60</v>
      </c>
      <c r="I651" s="461">
        <f t="shared" si="247"/>
        <v>0</v>
      </c>
      <c r="J651" s="89">
        <f t="shared" si="247"/>
        <v>0</v>
      </c>
      <c r="K651" s="93">
        <f t="shared" si="247"/>
        <v>0</v>
      </c>
      <c r="L651" s="471">
        <f t="shared" si="247"/>
        <v>0</v>
      </c>
      <c r="M651" s="481">
        <f t="shared" si="247"/>
        <v>0</v>
      </c>
      <c r="N651" s="491">
        <f t="shared" si="247"/>
        <v>0</v>
      </c>
    </row>
    <row r="652" spans="1:14" ht="28.5" customHeight="1">
      <c r="A652" s="63"/>
      <c r="B652" s="63"/>
      <c r="C652" s="1"/>
      <c r="D652" s="1" t="s">
        <v>232</v>
      </c>
      <c r="E652" s="16" t="s">
        <v>403</v>
      </c>
      <c r="F652" s="61">
        <f>F653+F654</f>
        <v>60</v>
      </c>
      <c r="G652" s="451">
        <f aca="true" t="shared" si="248" ref="G652:N652">G653+G654</f>
        <v>0</v>
      </c>
      <c r="H652" s="141">
        <f t="shared" si="248"/>
        <v>60</v>
      </c>
      <c r="I652" s="461">
        <f t="shared" si="248"/>
        <v>0</v>
      </c>
      <c r="J652" s="89">
        <f t="shared" si="248"/>
        <v>0</v>
      </c>
      <c r="K652" s="93">
        <f t="shared" si="248"/>
        <v>0</v>
      </c>
      <c r="L652" s="471">
        <f t="shared" si="248"/>
        <v>0</v>
      </c>
      <c r="M652" s="481">
        <f t="shared" si="248"/>
        <v>0</v>
      </c>
      <c r="N652" s="491">
        <f t="shared" si="248"/>
        <v>0</v>
      </c>
    </row>
    <row r="653" spans="1:14" ht="12.75">
      <c r="A653" s="63"/>
      <c r="B653" s="63"/>
      <c r="C653" s="1"/>
      <c r="D653" s="1" t="s">
        <v>132</v>
      </c>
      <c r="E653" s="16" t="s">
        <v>251</v>
      </c>
      <c r="F653" s="61">
        <f>G653+H653+I653+J653+K653+L653+M653+N653</f>
        <v>20</v>
      </c>
      <c r="G653" s="452"/>
      <c r="H653" s="141">
        <v>20</v>
      </c>
      <c r="I653" s="462"/>
      <c r="J653" s="90"/>
      <c r="K653" s="94"/>
      <c r="L653" s="474"/>
      <c r="M653" s="482"/>
      <c r="N653" s="494"/>
    </row>
    <row r="654" spans="1:14" ht="12.75">
      <c r="A654" s="63"/>
      <c r="B654" s="63"/>
      <c r="C654" s="59"/>
      <c r="D654" s="1" t="s">
        <v>131</v>
      </c>
      <c r="E654" s="16" t="s">
        <v>252</v>
      </c>
      <c r="F654" s="61">
        <f>G654+H654+I654+J654+K654+L654+M654+N654</f>
        <v>40</v>
      </c>
      <c r="G654" s="452"/>
      <c r="H654" s="142">
        <v>40</v>
      </c>
      <c r="I654" s="462"/>
      <c r="J654" s="90"/>
      <c r="K654" s="94"/>
      <c r="L654" s="474"/>
      <c r="M654" s="482"/>
      <c r="N654" s="494"/>
    </row>
    <row r="655" spans="1:14" ht="12.75">
      <c r="A655" s="63"/>
      <c r="B655" s="83" t="s">
        <v>1080</v>
      </c>
      <c r="C655" s="1"/>
      <c r="D655" s="1"/>
      <c r="E655" s="16" t="s">
        <v>1086</v>
      </c>
      <c r="F655" s="61">
        <f>F656+F660</f>
        <v>-47.87999999999994</v>
      </c>
      <c r="G655" s="451">
        <f aca="true" t="shared" si="249" ref="G655:N655">G656+G660</f>
        <v>-413.28</v>
      </c>
      <c r="H655" s="141">
        <f t="shared" si="249"/>
        <v>0</v>
      </c>
      <c r="I655" s="461">
        <f t="shared" si="249"/>
        <v>0</v>
      </c>
      <c r="J655" s="89">
        <f t="shared" si="249"/>
        <v>365.40000000000003</v>
      </c>
      <c r="K655" s="93">
        <f t="shared" si="249"/>
        <v>0</v>
      </c>
      <c r="L655" s="471">
        <f t="shared" si="249"/>
        <v>0</v>
      </c>
      <c r="M655" s="481">
        <f t="shared" si="249"/>
        <v>0</v>
      </c>
      <c r="N655" s="491">
        <f t="shared" si="249"/>
        <v>0</v>
      </c>
    </row>
    <row r="656" spans="1:14" ht="12.75">
      <c r="A656" s="63"/>
      <c r="B656" s="63"/>
      <c r="C656" s="1" t="s">
        <v>1081</v>
      </c>
      <c r="D656" s="1"/>
      <c r="E656" s="16" t="s">
        <v>1079</v>
      </c>
      <c r="F656" s="61">
        <f>F657</f>
        <v>365.40000000000003</v>
      </c>
      <c r="G656" s="451">
        <f aca="true" t="shared" si="250" ref="G656:N656">G657</f>
        <v>0</v>
      </c>
      <c r="H656" s="141">
        <f t="shared" si="250"/>
        <v>0</v>
      </c>
      <c r="I656" s="461">
        <f t="shared" si="250"/>
        <v>0</v>
      </c>
      <c r="J656" s="89">
        <f t="shared" si="250"/>
        <v>365.40000000000003</v>
      </c>
      <c r="K656" s="93">
        <f t="shared" si="250"/>
        <v>0</v>
      </c>
      <c r="L656" s="471">
        <f t="shared" si="250"/>
        <v>0</v>
      </c>
      <c r="M656" s="481">
        <f t="shared" si="250"/>
        <v>0</v>
      </c>
      <c r="N656" s="491">
        <f t="shared" si="250"/>
        <v>0</v>
      </c>
    </row>
    <row r="657" spans="1:14" ht="25.5" customHeight="1">
      <c r="A657" s="63"/>
      <c r="B657" s="63"/>
      <c r="C657" s="1"/>
      <c r="D657" s="1" t="s">
        <v>232</v>
      </c>
      <c r="E657" s="48" t="s">
        <v>403</v>
      </c>
      <c r="F657" s="61">
        <f>F658+F659</f>
        <v>365.40000000000003</v>
      </c>
      <c r="G657" s="451">
        <f aca="true" t="shared" si="251" ref="G657:N657">G658+G659</f>
        <v>0</v>
      </c>
      <c r="H657" s="141">
        <f t="shared" si="251"/>
        <v>0</v>
      </c>
      <c r="I657" s="461">
        <f t="shared" si="251"/>
        <v>0</v>
      </c>
      <c r="J657" s="89">
        <f t="shared" si="251"/>
        <v>365.40000000000003</v>
      </c>
      <c r="K657" s="93">
        <f t="shared" si="251"/>
        <v>0</v>
      </c>
      <c r="L657" s="471">
        <f t="shared" si="251"/>
        <v>0</v>
      </c>
      <c r="M657" s="481">
        <f t="shared" si="251"/>
        <v>0</v>
      </c>
      <c r="N657" s="491">
        <f t="shared" si="251"/>
        <v>0</v>
      </c>
    </row>
    <row r="658" spans="1:14" ht="12.75">
      <c r="A658" s="63"/>
      <c r="B658" s="63"/>
      <c r="C658" s="1"/>
      <c r="D658" s="1" t="s">
        <v>132</v>
      </c>
      <c r="E658" s="16" t="s">
        <v>251</v>
      </c>
      <c r="F658" s="61">
        <f>G658+H658+I658+J658+K658+L658+M658+N658</f>
        <v>82.86</v>
      </c>
      <c r="G658" s="452"/>
      <c r="H658" s="142"/>
      <c r="I658" s="462"/>
      <c r="J658" s="90">
        <v>82.86</v>
      </c>
      <c r="K658" s="94"/>
      <c r="L658" s="474"/>
      <c r="M658" s="482"/>
      <c r="N658" s="494"/>
    </row>
    <row r="659" spans="1:14" ht="12.75">
      <c r="A659" s="63"/>
      <c r="B659" s="63"/>
      <c r="C659" s="1"/>
      <c r="D659" s="1" t="s">
        <v>131</v>
      </c>
      <c r="E659" s="16" t="s">
        <v>252</v>
      </c>
      <c r="F659" s="61">
        <f>G659+H659+I659+J659+K659+L659+M659+N659</f>
        <v>282.54</v>
      </c>
      <c r="G659" s="452"/>
      <c r="H659" s="142"/>
      <c r="I659" s="462"/>
      <c r="J659" s="90">
        <v>282.54</v>
      </c>
      <c r="K659" s="94"/>
      <c r="L659" s="474"/>
      <c r="M659" s="482"/>
      <c r="N659" s="494"/>
    </row>
    <row r="660" spans="1:14" ht="12.75">
      <c r="A660" s="63"/>
      <c r="B660" s="63"/>
      <c r="C660" s="1" t="s">
        <v>1082</v>
      </c>
      <c r="D660" s="1"/>
      <c r="E660" s="16" t="s">
        <v>1088</v>
      </c>
      <c r="F660" s="61">
        <f>F661</f>
        <v>-413.28</v>
      </c>
      <c r="G660" s="451">
        <f aca="true" t="shared" si="252" ref="G660:N663">G661</f>
        <v>-413.28</v>
      </c>
      <c r="H660" s="141">
        <f t="shared" si="252"/>
        <v>0</v>
      </c>
      <c r="I660" s="461">
        <f t="shared" si="252"/>
        <v>0</v>
      </c>
      <c r="J660" s="89">
        <f t="shared" si="252"/>
        <v>0</v>
      </c>
      <c r="K660" s="93">
        <f t="shared" si="252"/>
        <v>0</v>
      </c>
      <c r="L660" s="471">
        <f t="shared" si="252"/>
        <v>0</v>
      </c>
      <c r="M660" s="481">
        <f t="shared" si="252"/>
        <v>0</v>
      </c>
      <c r="N660" s="491">
        <f t="shared" si="252"/>
        <v>0</v>
      </c>
    </row>
    <row r="661" spans="1:14" ht="12.75">
      <c r="A661" s="63"/>
      <c r="B661" s="63"/>
      <c r="C661" s="1" t="s">
        <v>1083</v>
      </c>
      <c r="D661" s="1"/>
      <c r="E661" s="16" t="s">
        <v>1089</v>
      </c>
      <c r="F661" s="61">
        <f>F662</f>
        <v>-413.28</v>
      </c>
      <c r="G661" s="451">
        <f t="shared" si="252"/>
        <v>-413.28</v>
      </c>
      <c r="H661" s="141">
        <f t="shared" si="252"/>
        <v>0</v>
      </c>
      <c r="I661" s="461">
        <f t="shared" si="252"/>
        <v>0</v>
      </c>
      <c r="J661" s="89">
        <f t="shared" si="252"/>
        <v>0</v>
      </c>
      <c r="K661" s="93">
        <f t="shared" si="252"/>
        <v>0</v>
      </c>
      <c r="L661" s="471">
        <f t="shared" si="252"/>
        <v>0</v>
      </c>
      <c r="M661" s="481">
        <f t="shared" si="252"/>
        <v>0</v>
      </c>
      <c r="N661" s="491">
        <f t="shared" si="252"/>
        <v>0</v>
      </c>
    </row>
    <row r="662" spans="1:14" ht="12.75">
      <c r="A662" s="63"/>
      <c r="B662" s="63"/>
      <c r="C662" s="1" t="s">
        <v>1084</v>
      </c>
      <c r="D662" s="1"/>
      <c r="E662" s="16" t="s">
        <v>1089</v>
      </c>
      <c r="F662" s="61">
        <f>F663</f>
        <v>-413.28</v>
      </c>
      <c r="G662" s="451">
        <f t="shared" si="252"/>
        <v>-413.28</v>
      </c>
      <c r="H662" s="141">
        <f t="shared" si="252"/>
        <v>0</v>
      </c>
      <c r="I662" s="461">
        <f t="shared" si="252"/>
        <v>0</v>
      </c>
      <c r="J662" s="89">
        <f t="shared" si="252"/>
        <v>0</v>
      </c>
      <c r="K662" s="93">
        <f t="shared" si="252"/>
        <v>0</v>
      </c>
      <c r="L662" s="471">
        <f t="shared" si="252"/>
        <v>0</v>
      </c>
      <c r="M662" s="481">
        <f t="shared" si="252"/>
        <v>0</v>
      </c>
      <c r="N662" s="491">
        <f t="shared" si="252"/>
        <v>0</v>
      </c>
    </row>
    <row r="663" spans="1:14" ht="27.75" customHeight="1">
      <c r="A663" s="63"/>
      <c r="B663" s="63"/>
      <c r="C663" s="1"/>
      <c r="D663" s="1" t="s">
        <v>232</v>
      </c>
      <c r="E663" s="48" t="s">
        <v>403</v>
      </c>
      <c r="F663" s="61">
        <f>F664</f>
        <v>-413.28</v>
      </c>
      <c r="G663" s="451">
        <f t="shared" si="252"/>
        <v>-413.28</v>
      </c>
      <c r="H663" s="141">
        <f t="shared" si="252"/>
        <v>0</v>
      </c>
      <c r="I663" s="461">
        <f t="shared" si="252"/>
        <v>0</v>
      </c>
      <c r="J663" s="89">
        <f t="shared" si="252"/>
        <v>0</v>
      </c>
      <c r="K663" s="93">
        <f t="shared" si="252"/>
        <v>0</v>
      </c>
      <c r="L663" s="471">
        <f t="shared" si="252"/>
        <v>0</v>
      </c>
      <c r="M663" s="481">
        <f t="shared" si="252"/>
        <v>0</v>
      </c>
      <c r="N663" s="491">
        <f t="shared" si="252"/>
        <v>0</v>
      </c>
    </row>
    <row r="664" spans="1:14" ht="12.75">
      <c r="A664" s="63"/>
      <c r="B664" s="63"/>
      <c r="C664" s="1"/>
      <c r="D664" s="1" t="s">
        <v>131</v>
      </c>
      <c r="E664" s="16" t="s">
        <v>252</v>
      </c>
      <c r="F664" s="61">
        <f>G664+H664+I664+J664+K664+L664+M664+N664</f>
        <v>-413.28</v>
      </c>
      <c r="G664" s="452">
        <v>-413.28</v>
      </c>
      <c r="H664" s="142"/>
      <c r="I664" s="462"/>
      <c r="J664" s="90"/>
      <c r="K664" s="94"/>
      <c r="L664" s="474"/>
      <c r="M664" s="482"/>
      <c r="N664" s="494"/>
    </row>
    <row r="665" spans="1:14" ht="12.75">
      <c r="A665" s="63"/>
      <c r="B665" s="83" t="s">
        <v>1085</v>
      </c>
      <c r="C665" s="1"/>
      <c r="D665" s="1"/>
      <c r="E665" s="16" t="s">
        <v>1087</v>
      </c>
      <c r="F665" s="61">
        <f>F666</f>
        <v>846.9</v>
      </c>
      <c r="G665" s="451">
        <f aca="true" t="shared" si="253" ref="G665:N666">G666</f>
        <v>0</v>
      </c>
      <c r="H665" s="141">
        <f t="shared" si="253"/>
        <v>0</v>
      </c>
      <c r="I665" s="461">
        <f t="shared" si="253"/>
        <v>0</v>
      </c>
      <c r="J665" s="89">
        <f t="shared" si="253"/>
        <v>846.9</v>
      </c>
      <c r="K665" s="93">
        <f t="shared" si="253"/>
        <v>0</v>
      </c>
      <c r="L665" s="471">
        <f t="shared" si="253"/>
        <v>0</v>
      </c>
      <c r="M665" s="481">
        <f t="shared" si="253"/>
        <v>0</v>
      </c>
      <c r="N665" s="491">
        <f t="shared" si="253"/>
        <v>0</v>
      </c>
    </row>
    <row r="666" spans="1:14" ht="12.75">
      <c r="A666" s="63"/>
      <c r="B666" s="63"/>
      <c r="C666" s="1" t="s">
        <v>1081</v>
      </c>
      <c r="D666" s="1"/>
      <c r="E666" s="16" t="s">
        <v>1079</v>
      </c>
      <c r="F666" s="61">
        <f>F667</f>
        <v>846.9</v>
      </c>
      <c r="G666" s="451">
        <f t="shared" si="253"/>
        <v>0</v>
      </c>
      <c r="H666" s="141">
        <f t="shared" si="253"/>
        <v>0</v>
      </c>
      <c r="I666" s="461">
        <f t="shared" si="253"/>
        <v>0</v>
      </c>
      <c r="J666" s="89">
        <f t="shared" si="253"/>
        <v>846.9</v>
      </c>
      <c r="K666" s="93">
        <f t="shared" si="253"/>
        <v>0</v>
      </c>
      <c r="L666" s="471">
        <f t="shared" si="253"/>
        <v>0</v>
      </c>
      <c r="M666" s="481">
        <f t="shared" si="253"/>
        <v>0</v>
      </c>
      <c r="N666" s="491">
        <f t="shared" si="253"/>
        <v>0</v>
      </c>
    </row>
    <row r="667" spans="1:14" ht="28.5" customHeight="1">
      <c r="A667" s="63"/>
      <c r="B667" s="63"/>
      <c r="C667" s="1"/>
      <c r="D667" s="1" t="s">
        <v>232</v>
      </c>
      <c r="E667" s="48" t="s">
        <v>403</v>
      </c>
      <c r="F667" s="61">
        <f>F668+F669</f>
        <v>846.9</v>
      </c>
      <c r="G667" s="451">
        <f aca="true" t="shared" si="254" ref="G667:N667">G668+G669</f>
        <v>0</v>
      </c>
      <c r="H667" s="141">
        <f t="shared" si="254"/>
        <v>0</v>
      </c>
      <c r="I667" s="461">
        <f t="shared" si="254"/>
        <v>0</v>
      </c>
      <c r="J667" s="89">
        <f t="shared" si="254"/>
        <v>846.9</v>
      </c>
      <c r="K667" s="93">
        <f t="shared" si="254"/>
        <v>0</v>
      </c>
      <c r="L667" s="471">
        <f t="shared" si="254"/>
        <v>0</v>
      </c>
      <c r="M667" s="481">
        <f t="shared" si="254"/>
        <v>0</v>
      </c>
      <c r="N667" s="491">
        <f t="shared" si="254"/>
        <v>0</v>
      </c>
    </row>
    <row r="668" spans="1:14" ht="12.75">
      <c r="A668" s="63"/>
      <c r="B668" s="63"/>
      <c r="C668" s="1"/>
      <c r="D668" s="1" t="s">
        <v>132</v>
      </c>
      <c r="E668" s="16" t="s">
        <v>251</v>
      </c>
      <c r="F668" s="61">
        <f>G668+H668+I668+J668+K668+L668+M668+N668</f>
        <v>282.64</v>
      </c>
      <c r="G668" s="452"/>
      <c r="H668" s="142"/>
      <c r="I668" s="462"/>
      <c r="J668" s="90">
        <v>282.64</v>
      </c>
      <c r="K668" s="94"/>
      <c r="L668" s="474"/>
      <c r="M668" s="482"/>
      <c r="N668" s="494"/>
    </row>
    <row r="669" spans="1:14" ht="12.75">
      <c r="A669" s="63"/>
      <c r="B669" s="63"/>
      <c r="C669" s="1"/>
      <c r="D669" s="1" t="s">
        <v>131</v>
      </c>
      <c r="E669" s="16" t="s">
        <v>252</v>
      </c>
      <c r="F669" s="61">
        <f>G669+H669+I669+J669+K669+L669+M669+N669</f>
        <v>564.26</v>
      </c>
      <c r="G669" s="452"/>
      <c r="H669" s="142"/>
      <c r="I669" s="462"/>
      <c r="J669" s="90">
        <v>564.26</v>
      </c>
      <c r="K669" s="94"/>
      <c r="L669" s="474"/>
      <c r="M669" s="482"/>
      <c r="N669" s="494"/>
    </row>
    <row r="670" spans="1:14" ht="12.75">
      <c r="A670" s="63"/>
      <c r="B670" s="85">
        <v>1000</v>
      </c>
      <c r="C670" s="59"/>
      <c r="D670" s="1"/>
      <c r="E670" s="16" t="s">
        <v>64</v>
      </c>
      <c r="F670" s="61">
        <f>F671</f>
        <v>2601.672</v>
      </c>
      <c r="G670" s="451">
        <f aca="true" t="shared" si="255" ref="G670:N674">G671</f>
        <v>0</v>
      </c>
      <c r="H670" s="141">
        <f t="shared" si="255"/>
        <v>0</v>
      </c>
      <c r="I670" s="461">
        <f t="shared" si="255"/>
        <v>0</v>
      </c>
      <c r="J670" s="89">
        <f t="shared" si="255"/>
        <v>0</v>
      </c>
      <c r="K670" s="93">
        <f t="shared" si="255"/>
        <v>0</v>
      </c>
      <c r="L670" s="471">
        <f t="shared" si="255"/>
        <v>0</v>
      </c>
      <c r="M670" s="481">
        <f t="shared" si="255"/>
        <v>2601.672</v>
      </c>
      <c r="N670" s="491">
        <f t="shared" si="255"/>
        <v>0</v>
      </c>
    </row>
    <row r="671" spans="1:14" ht="12.75">
      <c r="A671" s="63"/>
      <c r="B671" s="85">
        <v>1003</v>
      </c>
      <c r="C671" s="59"/>
      <c r="D671" s="1"/>
      <c r="E671" s="16" t="s">
        <v>65</v>
      </c>
      <c r="F671" s="61">
        <f>F672</f>
        <v>2601.672</v>
      </c>
      <c r="G671" s="451">
        <f t="shared" si="255"/>
        <v>0</v>
      </c>
      <c r="H671" s="141">
        <f t="shared" si="255"/>
        <v>0</v>
      </c>
      <c r="I671" s="461">
        <f t="shared" si="255"/>
        <v>0</v>
      </c>
      <c r="J671" s="89">
        <f t="shared" si="255"/>
        <v>0</v>
      </c>
      <c r="K671" s="93">
        <f t="shared" si="255"/>
        <v>0</v>
      </c>
      <c r="L671" s="471">
        <f t="shared" si="255"/>
        <v>0</v>
      </c>
      <c r="M671" s="481">
        <f t="shared" si="255"/>
        <v>2601.672</v>
      </c>
      <c r="N671" s="491">
        <f t="shared" si="255"/>
        <v>0</v>
      </c>
    </row>
    <row r="672" spans="1:14" ht="12.75">
      <c r="A672" s="63"/>
      <c r="B672" s="63"/>
      <c r="C672" s="59" t="s">
        <v>66</v>
      </c>
      <c r="D672" s="1"/>
      <c r="E672" s="16" t="s">
        <v>67</v>
      </c>
      <c r="F672" s="61">
        <f>F673</f>
        <v>2601.672</v>
      </c>
      <c r="G672" s="451">
        <f t="shared" si="255"/>
        <v>0</v>
      </c>
      <c r="H672" s="141">
        <f t="shared" si="255"/>
        <v>0</v>
      </c>
      <c r="I672" s="461">
        <f t="shared" si="255"/>
        <v>0</v>
      </c>
      <c r="J672" s="89">
        <f t="shared" si="255"/>
        <v>0</v>
      </c>
      <c r="K672" s="93">
        <f t="shared" si="255"/>
        <v>0</v>
      </c>
      <c r="L672" s="471">
        <f t="shared" si="255"/>
        <v>0</v>
      </c>
      <c r="M672" s="481">
        <f t="shared" si="255"/>
        <v>2601.672</v>
      </c>
      <c r="N672" s="491">
        <f t="shared" si="255"/>
        <v>0</v>
      </c>
    </row>
    <row r="673" spans="1:14" ht="51">
      <c r="A673" s="63"/>
      <c r="B673" s="63"/>
      <c r="C673" s="59" t="s">
        <v>1066</v>
      </c>
      <c r="D673" s="1"/>
      <c r="E673" s="16" t="s">
        <v>1067</v>
      </c>
      <c r="F673" s="61">
        <f>F674</f>
        <v>2601.672</v>
      </c>
      <c r="G673" s="451">
        <f t="shared" si="255"/>
        <v>0</v>
      </c>
      <c r="H673" s="141">
        <f t="shared" si="255"/>
        <v>0</v>
      </c>
      <c r="I673" s="461">
        <f t="shared" si="255"/>
        <v>0</v>
      </c>
      <c r="J673" s="89">
        <f t="shared" si="255"/>
        <v>0</v>
      </c>
      <c r="K673" s="93">
        <f t="shared" si="255"/>
        <v>0</v>
      </c>
      <c r="L673" s="471">
        <f t="shared" si="255"/>
        <v>0</v>
      </c>
      <c r="M673" s="481">
        <f t="shared" si="255"/>
        <v>2601.672</v>
      </c>
      <c r="N673" s="491">
        <f t="shared" si="255"/>
        <v>0</v>
      </c>
    </row>
    <row r="674" spans="1:14" ht="12.75">
      <c r="A674" s="63"/>
      <c r="B674" s="63"/>
      <c r="C674" s="59"/>
      <c r="D674" s="1" t="s">
        <v>225</v>
      </c>
      <c r="E674" s="16" t="s">
        <v>226</v>
      </c>
      <c r="F674" s="61">
        <f>F675</f>
        <v>2601.672</v>
      </c>
      <c r="G674" s="451">
        <f t="shared" si="255"/>
        <v>0</v>
      </c>
      <c r="H674" s="141">
        <f t="shared" si="255"/>
        <v>0</v>
      </c>
      <c r="I674" s="461">
        <f t="shared" si="255"/>
        <v>0</v>
      </c>
      <c r="J674" s="89">
        <f t="shared" si="255"/>
        <v>0</v>
      </c>
      <c r="K674" s="93">
        <f t="shared" si="255"/>
        <v>0</v>
      </c>
      <c r="L674" s="471">
        <f t="shared" si="255"/>
        <v>0</v>
      </c>
      <c r="M674" s="481">
        <f t="shared" si="255"/>
        <v>2601.672</v>
      </c>
      <c r="N674" s="491">
        <f t="shared" si="255"/>
        <v>0</v>
      </c>
    </row>
    <row r="675" spans="1:14" ht="12.75">
      <c r="A675" s="63"/>
      <c r="B675" s="63"/>
      <c r="C675" s="59"/>
      <c r="D675" s="1" t="s">
        <v>342</v>
      </c>
      <c r="E675" s="16" t="s">
        <v>345</v>
      </c>
      <c r="F675" s="61">
        <f>G675+H675+I675+J675+K675+L675+M675+N675</f>
        <v>2601.672</v>
      </c>
      <c r="G675" s="452"/>
      <c r="H675" s="142"/>
      <c r="I675" s="462"/>
      <c r="J675" s="90"/>
      <c r="K675" s="94"/>
      <c r="L675" s="474"/>
      <c r="M675" s="482">
        <v>2601.672</v>
      </c>
      <c r="N675" s="494"/>
    </row>
    <row r="676" spans="1:14" ht="12.75">
      <c r="A676" s="63"/>
      <c r="B676" s="1" t="s">
        <v>68</v>
      </c>
      <c r="C676" s="1"/>
      <c r="D676" s="1"/>
      <c r="E676" s="16" t="s">
        <v>69</v>
      </c>
      <c r="F676" s="61">
        <f>G676+H676+I676+J676+K676+L676+M676+N676</f>
        <v>4644.5</v>
      </c>
      <c r="G676" s="452">
        <f aca="true" t="shared" si="256" ref="G676:N685">G677</f>
        <v>1857.6</v>
      </c>
      <c r="H676" s="142">
        <f t="shared" si="256"/>
        <v>0</v>
      </c>
      <c r="I676" s="462">
        <f t="shared" si="256"/>
        <v>0</v>
      </c>
      <c r="J676" s="90">
        <f t="shared" si="256"/>
        <v>2786.9</v>
      </c>
      <c r="K676" s="94">
        <f t="shared" si="256"/>
        <v>0</v>
      </c>
      <c r="L676" s="474">
        <f t="shared" si="256"/>
        <v>0</v>
      </c>
      <c r="M676" s="482">
        <f t="shared" si="256"/>
        <v>0</v>
      </c>
      <c r="N676" s="494">
        <f t="shared" si="256"/>
        <v>0</v>
      </c>
    </row>
    <row r="677" spans="1:14" ht="12.75">
      <c r="A677" s="63"/>
      <c r="B677" s="1" t="s">
        <v>9</v>
      </c>
      <c r="C677" s="1"/>
      <c r="D677" s="1"/>
      <c r="E677" s="16" t="s">
        <v>70</v>
      </c>
      <c r="F677" s="61">
        <f>F678+F682</f>
        <v>4644.5</v>
      </c>
      <c r="G677" s="451">
        <f aca="true" t="shared" si="257" ref="G677:N677">G678+G682</f>
        <v>1857.6</v>
      </c>
      <c r="H677" s="141">
        <f t="shared" si="257"/>
        <v>0</v>
      </c>
      <c r="I677" s="461">
        <f t="shared" si="257"/>
        <v>0</v>
      </c>
      <c r="J677" s="89">
        <f t="shared" si="257"/>
        <v>2786.9</v>
      </c>
      <c r="K677" s="93">
        <f t="shared" si="257"/>
        <v>0</v>
      </c>
      <c r="L677" s="471">
        <f t="shared" si="257"/>
        <v>0</v>
      </c>
      <c r="M677" s="481">
        <f t="shared" si="257"/>
        <v>0</v>
      </c>
      <c r="N677" s="491">
        <f t="shared" si="257"/>
        <v>0</v>
      </c>
    </row>
    <row r="678" spans="1:14" ht="12.75">
      <c r="A678" s="63"/>
      <c r="B678" s="1"/>
      <c r="C678" s="1" t="s">
        <v>382</v>
      </c>
      <c r="D678" s="1"/>
      <c r="E678" s="16" t="s">
        <v>384</v>
      </c>
      <c r="F678" s="61">
        <f>F679</f>
        <v>1857.6</v>
      </c>
      <c r="G678" s="451">
        <f aca="true" t="shared" si="258" ref="G678:N680">G679</f>
        <v>1857.6</v>
      </c>
      <c r="H678" s="141">
        <f t="shared" si="258"/>
        <v>0</v>
      </c>
      <c r="I678" s="461">
        <f t="shared" si="258"/>
        <v>0</v>
      </c>
      <c r="J678" s="89">
        <f t="shared" si="258"/>
        <v>0</v>
      </c>
      <c r="K678" s="93">
        <f t="shared" si="258"/>
        <v>0</v>
      </c>
      <c r="L678" s="471">
        <f t="shared" si="258"/>
        <v>0</v>
      </c>
      <c r="M678" s="481">
        <f t="shared" si="258"/>
        <v>0</v>
      </c>
      <c r="N678" s="491">
        <f t="shared" si="258"/>
        <v>0</v>
      </c>
    </row>
    <row r="679" spans="1:14" ht="38.25">
      <c r="A679" s="63"/>
      <c r="B679" s="1"/>
      <c r="C679" s="1" t="s">
        <v>383</v>
      </c>
      <c r="D679" s="1"/>
      <c r="E679" s="16" t="s">
        <v>385</v>
      </c>
      <c r="F679" s="61">
        <f>F680</f>
        <v>1857.6</v>
      </c>
      <c r="G679" s="451">
        <f t="shared" si="258"/>
        <v>1857.6</v>
      </c>
      <c r="H679" s="141">
        <f t="shared" si="258"/>
        <v>0</v>
      </c>
      <c r="I679" s="461">
        <f t="shared" si="258"/>
        <v>0</v>
      </c>
      <c r="J679" s="89">
        <f t="shared" si="258"/>
        <v>0</v>
      </c>
      <c r="K679" s="93">
        <f t="shared" si="258"/>
        <v>0</v>
      </c>
      <c r="L679" s="471">
        <f t="shared" si="258"/>
        <v>0</v>
      </c>
      <c r="M679" s="481">
        <f t="shared" si="258"/>
        <v>0</v>
      </c>
      <c r="N679" s="491">
        <f t="shared" si="258"/>
        <v>0</v>
      </c>
    </row>
    <row r="680" spans="1:14" ht="29.25" customHeight="1">
      <c r="A680" s="63"/>
      <c r="B680" s="1"/>
      <c r="C680" s="1"/>
      <c r="D680" s="1" t="s">
        <v>232</v>
      </c>
      <c r="E680" s="16" t="s">
        <v>403</v>
      </c>
      <c r="F680" s="61">
        <f>F681</f>
        <v>1857.6</v>
      </c>
      <c r="G680" s="451">
        <f t="shared" si="258"/>
        <v>1857.6</v>
      </c>
      <c r="H680" s="141">
        <f t="shared" si="258"/>
        <v>0</v>
      </c>
      <c r="I680" s="461">
        <f t="shared" si="258"/>
        <v>0</v>
      </c>
      <c r="J680" s="89">
        <f t="shared" si="258"/>
        <v>0</v>
      </c>
      <c r="K680" s="93">
        <f t="shared" si="258"/>
        <v>0</v>
      </c>
      <c r="L680" s="471">
        <f t="shared" si="258"/>
        <v>0</v>
      </c>
      <c r="M680" s="481">
        <f t="shared" si="258"/>
        <v>0</v>
      </c>
      <c r="N680" s="491">
        <f t="shared" si="258"/>
        <v>0</v>
      </c>
    </row>
    <row r="681" spans="1:14" ht="24" customHeight="1">
      <c r="A681" s="63"/>
      <c r="B681" s="1"/>
      <c r="C681" s="59"/>
      <c r="D681" s="1" t="s">
        <v>191</v>
      </c>
      <c r="E681" s="16" t="s">
        <v>367</v>
      </c>
      <c r="F681" s="61">
        <f aca="true" t="shared" si="259" ref="F681:F696">G681+H681+I681+J681+K681+L681+M681+N681</f>
        <v>1857.6</v>
      </c>
      <c r="G681" s="452">
        <v>1857.6</v>
      </c>
      <c r="H681" s="142"/>
      <c r="I681" s="462"/>
      <c r="J681" s="90"/>
      <c r="K681" s="94"/>
      <c r="L681" s="474"/>
      <c r="M681" s="482"/>
      <c r="N681" s="494"/>
    </row>
    <row r="682" spans="1:14" ht="12.75">
      <c r="A682" s="63"/>
      <c r="B682" s="63"/>
      <c r="C682" s="59" t="s">
        <v>311</v>
      </c>
      <c r="D682" s="1"/>
      <c r="E682" s="16" t="s">
        <v>106</v>
      </c>
      <c r="F682" s="61">
        <f t="shared" si="259"/>
        <v>2786.9</v>
      </c>
      <c r="G682" s="452">
        <f t="shared" si="256"/>
        <v>0</v>
      </c>
      <c r="H682" s="142">
        <f t="shared" si="256"/>
        <v>0</v>
      </c>
      <c r="I682" s="462">
        <f t="shared" si="256"/>
        <v>0</v>
      </c>
      <c r="J682" s="90">
        <f t="shared" si="256"/>
        <v>2786.9</v>
      </c>
      <c r="K682" s="94">
        <f t="shared" si="256"/>
        <v>0</v>
      </c>
      <c r="L682" s="474">
        <f t="shared" si="256"/>
        <v>0</v>
      </c>
      <c r="M682" s="482">
        <f t="shared" si="256"/>
        <v>0</v>
      </c>
      <c r="N682" s="494">
        <f t="shared" si="256"/>
        <v>0</v>
      </c>
    </row>
    <row r="683" spans="1:14" ht="25.5">
      <c r="A683" s="63"/>
      <c r="B683" s="63"/>
      <c r="C683" s="59" t="s">
        <v>313</v>
      </c>
      <c r="D683" s="1"/>
      <c r="E683" s="16" t="s">
        <v>314</v>
      </c>
      <c r="F683" s="61">
        <f t="shared" si="259"/>
        <v>2786.9</v>
      </c>
      <c r="G683" s="452">
        <f t="shared" si="256"/>
        <v>0</v>
      </c>
      <c r="H683" s="142">
        <f t="shared" si="256"/>
        <v>0</v>
      </c>
      <c r="I683" s="462">
        <f t="shared" si="256"/>
        <v>0</v>
      </c>
      <c r="J683" s="90">
        <f t="shared" si="256"/>
        <v>2786.9</v>
      </c>
      <c r="K683" s="94">
        <f t="shared" si="256"/>
        <v>0</v>
      </c>
      <c r="L683" s="474">
        <f t="shared" si="256"/>
        <v>0</v>
      </c>
      <c r="M683" s="482">
        <f t="shared" si="256"/>
        <v>0</v>
      </c>
      <c r="N683" s="494">
        <f t="shared" si="256"/>
        <v>0</v>
      </c>
    </row>
    <row r="684" spans="1:14" ht="12.75">
      <c r="A684" s="63"/>
      <c r="B684" s="63"/>
      <c r="C684" s="59" t="s">
        <v>312</v>
      </c>
      <c r="D684" s="1"/>
      <c r="E684" s="16" t="s">
        <v>189</v>
      </c>
      <c r="F684" s="61">
        <f t="shared" si="259"/>
        <v>2786.9</v>
      </c>
      <c r="G684" s="452">
        <f t="shared" si="256"/>
        <v>0</v>
      </c>
      <c r="H684" s="142">
        <f t="shared" si="256"/>
        <v>0</v>
      </c>
      <c r="I684" s="462">
        <f t="shared" si="256"/>
        <v>0</v>
      </c>
      <c r="J684" s="90">
        <f t="shared" si="256"/>
        <v>2786.9</v>
      </c>
      <c r="K684" s="94">
        <f t="shared" si="256"/>
        <v>0</v>
      </c>
      <c r="L684" s="474">
        <f t="shared" si="256"/>
        <v>0</v>
      </c>
      <c r="M684" s="482">
        <f t="shared" si="256"/>
        <v>0</v>
      </c>
      <c r="N684" s="494">
        <f t="shared" si="256"/>
        <v>0</v>
      </c>
    </row>
    <row r="685" spans="1:14" ht="26.25" customHeight="1">
      <c r="A685" s="63"/>
      <c r="B685" s="63"/>
      <c r="C685" s="59"/>
      <c r="D685" s="1" t="s">
        <v>232</v>
      </c>
      <c r="E685" s="48" t="s">
        <v>403</v>
      </c>
      <c r="F685" s="61">
        <f t="shared" si="259"/>
        <v>2786.9</v>
      </c>
      <c r="G685" s="452">
        <f t="shared" si="256"/>
        <v>0</v>
      </c>
      <c r="H685" s="142">
        <f t="shared" si="256"/>
        <v>0</v>
      </c>
      <c r="I685" s="462">
        <f t="shared" si="256"/>
        <v>0</v>
      </c>
      <c r="J685" s="90">
        <f t="shared" si="256"/>
        <v>2786.9</v>
      </c>
      <c r="K685" s="94">
        <f t="shared" si="256"/>
        <v>0</v>
      </c>
      <c r="L685" s="474">
        <f t="shared" si="256"/>
        <v>0</v>
      </c>
      <c r="M685" s="482">
        <f t="shared" si="256"/>
        <v>0</v>
      </c>
      <c r="N685" s="494">
        <f t="shared" si="256"/>
        <v>0</v>
      </c>
    </row>
    <row r="686" spans="1:14" ht="12.75" customHeight="1">
      <c r="A686" s="63"/>
      <c r="B686" s="63"/>
      <c r="C686" s="59"/>
      <c r="D686" s="1" t="s">
        <v>191</v>
      </c>
      <c r="E686" s="16" t="s">
        <v>367</v>
      </c>
      <c r="F686" s="61">
        <f t="shared" si="259"/>
        <v>2786.9</v>
      </c>
      <c r="G686" s="452"/>
      <c r="H686" s="142"/>
      <c r="I686" s="462"/>
      <c r="J686" s="90">
        <v>2786.9</v>
      </c>
      <c r="K686" s="94"/>
      <c r="L686" s="474"/>
      <c r="M686" s="482"/>
      <c r="N686" s="494"/>
    </row>
    <row r="687" spans="1:14" ht="25.5">
      <c r="A687" s="10" t="s">
        <v>172</v>
      </c>
      <c r="B687" s="10"/>
      <c r="C687" s="10"/>
      <c r="D687" s="10"/>
      <c r="E687" s="15" t="s">
        <v>268</v>
      </c>
      <c r="F687" s="66">
        <f t="shared" si="259"/>
        <v>0</v>
      </c>
      <c r="G687" s="453">
        <f>G688</f>
        <v>0</v>
      </c>
      <c r="H687" s="143">
        <f aca="true" t="shared" si="260" ref="H687:N691">H688</f>
        <v>0</v>
      </c>
      <c r="I687" s="463">
        <f t="shared" si="260"/>
        <v>0</v>
      </c>
      <c r="J687" s="91">
        <f t="shared" si="260"/>
        <v>0</v>
      </c>
      <c r="K687" s="95">
        <f t="shared" si="260"/>
        <v>0</v>
      </c>
      <c r="L687" s="475">
        <f t="shared" si="260"/>
        <v>0</v>
      </c>
      <c r="M687" s="483">
        <f t="shared" si="260"/>
        <v>0</v>
      </c>
      <c r="N687" s="495">
        <f t="shared" si="260"/>
        <v>0</v>
      </c>
    </row>
    <row r="688" spans="1:14" ht="12.75">
      <c r="A688" s="63"/>
      <c r="B688" s="1" t="s">
        <v>34</v>
      </c>
      <c r="C688" s="1"/>
      <c r="D688" s="1"/>
      <c r="E688" s="16" t="s">
        <v>218</v>
      </c>
      <c r="F688" s="61">
        <f t="shared" si="259"/>
        <v>0</v>
      </c>
      <c r="G688" s="452">
        <f>G689</f>
        <v>0</v>
      </c>
      <c r="H688" s="142">
        <f t="shared" si="260"/>
        <v>0</v>
      </c>
      <c r="I688" s="462">
        <f t="shared" si="260"/>
        <v>0</v>
      </c>
      <c r="J688" s="90">
        <f t="shared" si="260"/>
        <v>0</v>
      </c>
      <c r="K688" s="94">
        <f t="shared" si="260"/>
        <v>0</v>
      </c>
      <c r="L688" s="474">
        <f t="shared" si="260"/>
        <v>0</v>
      </c>
      <c r="M688" s="482">
        <f t="shared" si="260"/>
        <v>0</v>
      </c>
      <c r="N688" s="494">
        <f t="shared" si="260"/>
        <v>0</v>
      </c>
    </row>
    <row r="689" spans="1:14" ht="12.75">
      <c r="A689" s="63"/>
      <c r="B689" s="1" t="s">
        <v>86</v>
      </c>
      <c r="C689" s="1"/>
      <c r="D689" s="1"/>
      <c r="E689" s="16" t="s">
        <v>87</v>
      </c>
      <c r="F689" s="61">
        <f t="shared" si="259"/>
        <v>0</v>
      </c>
      <c r="G689" s="452">
        <f>G690</f>
        <v>0</v>
      </c>
      <c r="H689" s="142">
        <f t="shared" si="260"/>
        <v>0</v>
      </c>
      <c r="I689" s="462">
        <f t="shared" si="260"/>
        <v>0</v>
      </c>
      <c r="J689" s="90">
        <f t="shared" si="260"/>
        <v>0</v>
      </c>
      <c r="K689" s="94">
        <f t="shared" si="260"/>
        <v>0</v>
      </c>
      <c r="L689" s="474">
        <f t="shared" si="260"/>
        <v>0</v>
      </c>
      <c r="M689" s="482">
        <f t="shared" si="260"/>
        <v>0</v>
      </c>
      <c r="N689" s="494">
        <f t="shared" si="260"/>
        <v>0</v>
      </c>
    </row>
    <row r="690" spans="1:14" ht="12.75">
      <c r="A690" s="63"/>
      <c r="B690" s="63"/>
      <c r="C690" s="17" t="s">
        <v>54</v>
      </c>
      <c r="D690" s="17"/>
      <c r="E690" s="16" t="s">
        <v>55</v>
      </c>
      <c r="F690" s="61">
        <f t="shared" si="259"/>
        <v>0</v>
      </c>
      <c r="G690" s="452">
        <f>G691</f>
        <v>0</v>
      </c>
      <c r="H690" s="142">
        <f t="shared" si="260"/>
        <v>0</v>
      </c>
      <c r="I690" s="462">
        <f t="shared" si="260"/>
        <v>0</v>
      </c>
      <c r="J690" s="90">
        <f t="shared" si="260"/>
        <v>0</v>
      </c>
      <c r="K690" s="94">
        <f t="shared" si="260"/>
        <v>0</v>
      </c>
      <c r="L690" s="474">
        <f t="shared" si="260"/>
        <v>0</v>
      </c>
      <c r="M690" s="482">
        <f t="shared" si="260"/>
        <v>0</v>
      </c>
      <c r="N690" s="494">
        <f t="shared" si="260"/>
        <v>0</v>
      </c>
    </row>
    <row r="691" spans="1:14" ht="12.75">
      <c r="A691" s="63"/>
      <c r="B691" s="63"/>
      <c r="C691" s="17" t="s">
        <v>56</v>
      </c>
      <c r="D691" s="17"/>
      <c r="E691" s="21" t="s">
        <v>57</v>
      </c>
      <c r="F691" s="61">
        <f t="shared" si="259"/>
        <v>0</v>
      </c>
      <c r="G691" s="452">
        <f>G692</f>
        <v>0</v>
      </c>
      <c r="H691" s="142">
        <f t="shared" si="260"/>
        <v>0</v>
      </c>
      <c r="I691" s="462">
        <f t="shared" si="260"/>
        <v>0</v>
      </c>
      <c r="J691" s="90">
        <f t="shared" si="260"/>
        <v>0</v>
      </c>
      <c r="K691" s="94">
        <f t="shared" si="260"/>
        <v>0</v>
      </c>
      <c r="L691" s="474">
        <f t="shared" si="260"/>
        <v>0</v>
      </c>
      <c r="M691" s="482">
        <f t="shared" si="260"/>
        <v>0</v>
      </c>
      <c r="N691" s="494">
        <f t="shared" si="260"/>
        <v>0</v>
      </c>
    </row>
    <row r="692" spans="1:14" ht="25.5">
      <c r="A692" s="63"/>
      <c r="B692" s="63"/>
      <c r="C692" s="17" t="s">
        <v>242</v>
      </c>
      <c r="D692" s="17"/>
      <c r="E692" s="16" t="s">
        <v>243</v>
      </c>
      <c r="F692" s="61">
        <f t="shared" si="259"/>
        <v>0</v>
      </c>
      <c r="G692" s="452">
        <f>G693+G695</f>
        <v>0</v>
      </c>
      <c r="H692" s="142">
        <f aca="true" t="shared" si="261" ref="H692:N692">H693+H695</f>
        <v>0</v>
      </c>
      <c r="I692" s="462">
        <f t="shared" si="261"/>
        <v>0</v>
      </c>
      <c r="J692" s="90">
        <f t="shared" si="261"/>
        <v>0</v>
      </c>
      <c r="K692" s="94">
        <f t="shared" si="261"/>
        <v>0</v>
      </c>
      <c r="L692" s="474">
        <f t="shared" si="261"/>
        <v>0</v>
      </c>
      <c r="M692" s="482">
        <f t="shared" si="261"/>
        <v>0</v>
      </c>
      <c r="N692" s="494">
        <f t="shared" si="261"/>
        <v>0</v>
      </c>
    </row>
    <row r="693" spans="1:14" ht="12.75">
      <c r="A693" s="63"/>
      <c r="B693" s="63"/>
      <c r="C693" s="17"/>
      <c r="D693" s="1" t="s">
        <v>210</v>
      </c>
      <c r="E693" s="16" t="s">
        <v>211</v>
      </c>
      <c r="F693" s="61">
        <f t="shared" si="259"/>
        <v>210</v>
      </c>
      <c r="G693" s="452">
        <f>G694</f>
        <v>0</v>
      </c>
      <c r="H693" s="142">
        <f aca="true" t="shared" si="262" ref="H693:N693">H694</f>
        <v>0</v>
      </c>
      <c r="I693" s="462">
        <f t="shared" si="262"/>
        <v>0</v>
      </c>
      <c r="J693" s="90">
        <f t="shared" si="262"/>
        <v>0</v>
      </c>
      <c r="K693" s="94">
        <f t="shared" si="262"/>
        <v>0</v>
      </c>
      <c r="L693" s="474">
        <f t="shared" si="262"/>
        <v>0</v>
      </c>
      <c r="M693" s="482">
        <f t="shared" si="262"/>
        <v>0</v>
      </c>
      <c r="N693" s="494">
        <f t="shared" si="262"/>
        <v>210</v>
      </c>
    </row>
    <row r="694" spans="1:14" ht="12.75">
      <c r="A694" s="63"/>
      <c r="B694" s="63"/>
      <c r="C694" s="17"/>
      <c r="D694" s="1" t="s">
        <v>8</v>
      </c>
      <c r="E694" s="16" t="s">
        <v>216</v>
      </c>
      <c r="F694" s="61">
        <f t="shared" si="259"/>
        <v>210</v>
      </c>
      <c r="G694" s="452"/>
      <c r="H694" s="142"/>
      <c r="I694" s="462"/>
      <c r="J694" s="90"/>
      <c r="K694" s="94"/>
      <c r="L694" s="474"/>
      <c r="M694" s="482"/>
      <c r="N694" s="494">
        <v>210</v>
      </c>
    </row>
    <row r="695" spans="1:14" ht="12.75">
      <c r="A695" s="63"/>
      <c r="B695" s="63"/>
      <c r="C695" s="17"/>
      <c r="D695" s="1" t="s">
        <v>230</v>
      </c>
      <c r="E695" s="16" t="s">
        <v>231</v>
      </c>
      <c r="F695" s="61">
        <f t="shared" si="259"/>
        <v>-210</v>
      </c>
      <c r="G695" s="452">
        <f>G696</f>
        <v>0</v>
      </c>
      <c r="H695" s="142">
        <f aca="true" t="shared" si="263" ref="H695:N695">H696</f>
        <v>0</v>
      </c>
      <c r="I695" s="462">
        <f t="shared" si="263"/>
        <v>0</v>
      </c>
      <c r="J695" s="90">
        <f t="shared" si="263"/>
        <v>0</v>
      </c>
      <c r="K695" s="94">
        <f t="shared" si="263"/>
        <v>0</v>
      </c>
      <c r="L695" s="474">
        <f t="shared" si="263"/>
        <v>0</v>
      </c>
      <c r="M695" s="482">
        <f t="shared" si="263"/>
        <v>0</v>
      </c>
      <c r="N695" s="494">
        <f t="shared" si="263"/>
        <v>-210</v>
      </c>
    </row>
    <row r="696" spans="1:14" ht="28.5" customHeight="1">
      <c r="A696" s="63"/>
      <c r="B696" s="63"/>
      <c r="C696" s="17"/>
      <c r="D696" s="1" t="s">
        <v>127</v>
      </c>
      <c r="E696" s="16" t="s">
        <v>1197</v>
      </c>
      <c r="F696" s="61">
        <f t="shared" si="259"/>
        <v>-210</v>
      </c>
      <c r="G696" s="452"/>
      <c r="H696" s="142"/>
      <c r="I696" s="462"/>
      <c r="J696" s="90"/>
      <c r="K696" s="94"/>
      <c r="L696" s="474"/>
      <c r="M696" s="482"/>
      <c r="N696" s="494">
        <v>-210</v>
      </c>
    </row>
    <row r="697" spans="1:16" s="67" customFormat="1" ht="12.75">
      <c r="A697" s="69"/>
      <c r="B697" s="69"/>
      <c r="C697" s="58"/>
      <c r="D697" s="10"/>
      <c r="E697" s="15" t="s">
        <v>0</v>
      </c>
      <c r="F697" s="66">
        <f>G697+H697+I697+J697+K697+L697+M697+N697</f>
        <v>144057.988</v>
      </c>
      <c r="G697" s="453">
        <f aca="true" t="shared" si="264" ref="G697:N697">G8+G114+G169+G177+G323++G409+G474+G520+G577+G687</f>
        <v>9332.054999999997</v>
      </c>
      <c r="H697" s="143">
        <f t="shared" si="264"/>
        <v>36022.1</v>
      </c>
      <c r="I697" s="463">
        <f t="shared" si="264"/>
        <v>-5500.986</v>
      </c>
      <c r="J697" s="91">
        <f t="shared" si="264"/>
        <v>6665.2800000000025</v>
      </c>
      <c r="K697" s="95">
        <f t="shared" si="264"/>
        <v>10485.005000000001</v>
      </c>
      <c r="L697" s="475">
        <f t="shared" si="264"/>
        <v>9960.6</v>
      </c>
      <c r="M697" s="483">
        <f t="shared" si="264"/>
        <v>77093.934</v>
      </c>
      <c r="N697" s="495">
        <f t="shared" si="264"/>
        <v>0</v>
      </c>
      <c r="O697" s="4"/>
      <c r="P697" s="4"/>
    </row>
    <row r="699" ht="12.75">
      <c r="M699" s="68"/>
    </row>
    <row r="700" ht="12.75">
      <c r="M700" s="68"/>
    </row>
    <row r="701" ht="12.75">
      <c r="M701" s="68"/>
    </row>
    <row r="702" ht="12.75">
      <c r="M702" s="68"/>
    </row>
    <row r="703" ht="12.75">
      <c r="M703" s="68"/>
    </row>
  </sheetData>
  <sheetProtection/>
  <autoFilter ref="A6:E697"/>
  <mergeCells count="11">
    <mergeCell ref="A1:B1"/>
    <mergeCell ref="C1:D1"/>
    <mergeCell ref="E1:F1"/>
    <mergeCell ref="A2:B2"/>
    <mergeCell ref="C2:D2"/>
    <mergeCell ref="E2:F2"/>
    <mergeCell ref="C527:C528"/>
    <mergeCell ref="A3:B3"/>
    <mergeCell ref="C3:D3"/>
    <mergeCell ref="E3:F3"/>
    <mergeCell ref="A4:F4"/>
  </mergeCells>
  <printOptions/>
  <pageMargins left="0.3937007874015748" right="0" top="0.1968503937007874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2013-05-30T10:14:07Z</cp:lastPrinted>
  <dcterms:created xsi:type="dcterms:W3CDTF">2012-09-05T03:26:16Z</dcterms:created>
  <dcterms:modified xsi:type="dcterms:W3CDTF">2013-05-30T10:43:59Z</dcterms:modified>
  <cp:category/>
  <cp:version/>
  <cp:contentType/>
  <cp:contentStatus/>
</cp:coreProperties>
</file>