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ожидаемая оц." sheetId="22" r:id="rId22"/>
  </sheets>
  <externalReferences>
    <externalReference r:id="rId25"/>
  </externalReferences>
  <definedNames/>
  <calcPr fullCalcOnLoad="1" fullPrecision="0"/>
</workbook>
</file>

<file path=xl/comments2.xml><?xml version="1.0" encoding="utf-8"?>
<comments xmlns="http://schemas.openxmlformats.org/spreadsheetml/2006/main">
  <authors>
    <author>gugikova</author>
  </authors>
  <commentList>
    <comment ref="K31" authorId="0">
      <text>
        <r>
          <rPr>
            <b/>
            <sz val="8"/>
            <rFont val="Tahoma"/>
            <family val="0"/>
          </rPr>
          <t>gugikova:</t>
        </r>
        <r>
          <rPr>
            <sz val="8"/>
            <rFont val="Tahoma"/>
            <family val="0"/>
          </rPr>
          <t xml:space="preserve">
500т.р.-кап.рем.
</t>
        </r>
      </text>
    </comment>
  </commentList>
</comments>
</file>

<file path=xl/sharedStrings.xml><?xml version="1.0" encoding="utf-8"?>
<sst xmlns="http://schemas.openxmlformats.org/spreadsheetml/2006/main" count="1735" uniqueCount="1088">
  <si>
    <t>МОУ ДОД Детская школа искусств  с.Усть-Качка</t>
  </si>
  <si>
    <t>МОУ ДОД Детская школа искусств п. Сылва</t>
  </si>
  <si>
    <t>МОУ ДОД Детская школа искусств п. Юго-Камский</t>
  </si>
  <si>
    <t>МОУ ДОД Детская школа искусств с.Култаево</t>
  </si>
  <si>
    <t>МОУ ДОД Детская школа искусств,д.Кондратово</t>
  </si>
  <si>
    <t>МОУ ДОД Детская школа искусств,с. Лобаново</t>
  </si>
  <si>
    <t>МОУ ДОД Детская школа искусств,с.Гамово</t>
  </si>
  <si>
    <t>МОУ ДПО "Районный центр педагогической информации"</t>
  </si>
  <si>
    <t>МОУ Заболотская основная общеобразовательная школа</t>
  </si>
  <si>
    <t>МОУ Кондратовская средняя общеобразовательная школа</t>
  </si>
  <si>
    <t>МОУ Конзаводская средняя общеобразовательная школа</t>
  </si>
  <si>
    <t>МОУ Кояновская  средняя общеобразовательная школа</t>
  </si>
  <si>
    <t>МОУ Култаевская средняя общеобразовательная школа</t>
  </si>
  <si>
    <t>МОУ Курашимская общеобразовательная школа</t>
  </si>
  <si>
    <t>МОУ Лобановская средняя общеобразовательная школа</t>
  </si>
  <si>
    <t>МОУ Лядовская средняя общеобразовательная школа</t>
  </si>
  <si>
    <t>МОУ Мостовская средняя общеобразовательная школа</t>
  </si>
  <si>
    <t>МОУ Мулянская средняя общеобразовательная школа</t>
  </si>
  <si>
    <t>МОУ Нижнемуллинская средняя общеобразовательная школа</t>
  </si>
  <si>
    <t>МОУ Пальниковская средняя общеобразовательная школа</t>
  </si>
  <si>
    <t>МОУ Платошинская средняя общеобразовательная школа</t>
  </si>
  <si>
    <t>МОУ Рождественская средняя общеобразовательная школа</t>
  </si>
  <si>
    <t>МОУ Савинская средняя общеобразовательная школа</t>
  </si>
  <si>
    <t>МОУ Соколовская средняя общеобразовательная школа</t>
  </si>
  <si>
    <t>МОУ Сылвенская средняя общеобразовательная школа N1</t>
  </si>
  <si>
    <t>МОУ Сылвенская средняя общеобразовательная школа N2</t>
  </si>
  <si>
    <t>МОУ Уральская основная общеобразовательная школа</t>
  </si>
  <si>
    <t>МОУ Усть-Качкинская средняя общеобразовательная школа</t>
  </si>
  <si>
    <t>МОУ Фроловская средняя общеобразовательная школа</t>
  </si>
  <si>
    <t>МОУ Хохловская средняя общеобразовательная школа</t>
  </si>
  <si>
    <t>МОУ Юго-Камская средняя общеобразовательная школа</t>
  </si>
  <si>
    <t>МОУ Юговская средняя общеобразовательная школа</t>
  </si>
  <si>
    <t>МОУ вечерняя школа</t>
  </si>
  <si>
    <t>МУ "МЦБ"</t>
  </si>
  <si>
    <t>МУ "Районный методический центр КДД и НТ"</t>
  </si>
  <si>
    <t>МУ "Управление капитального строительства Пермского муниципального района"</t>
  </si>
  <si>
    <t>МУ по землеустройству Пермского муниципального района Пермского края</t>
  </si>
  <si>
    <t>МУ по охране  окружающей среды</t>
  </si>
  <si>
    <t>МУЗ "Кукуштанская участковая больница"</t>
  </si>
  <si>
    <t>МУЗ "Култаевская больница"</t>
  </si>
  <si>
    <t>МУЗ "Центральная районная больница"</t>
  </si>
  <si>
    <t>МУЗ "Юго-Камская  больница"</t>
  </si>
  <si>
    <t>Музей</t>
  </si>
  <si>
    <t>УЖКХ Пермского района</t>
  </si>
  <si>
    <t>Управление культуры</t>
  </si>
  <si>
    <t>Управление образования</t>
  </si>
  <si>
    <t>тыс.руб</t>
  </si>
  <si>
    <t>Управление  р. 01</t>
  </si>
  <si>
    <t>Национальная безопасность р.03</t>
  </si>
  <si>
    <t>Национальная экономика р.04</t>
  </si>
  <si>
    <t>ЖКХ    р.05</t>
  </si>
  <si>
    <t>Охрана окр.среды  р.05</t>
  </si>
  <si>
    <t>Образование р.07</t>
  </si>
  <si>
    <t>Культура р.08</t>
  </si>
  <si>
    <t>Здравоохранение р.09</t>
  </si>
  <si>
    <t>Социальная политика р.10</t>
  </si>
  <si>
    <t xml:space="preserve">ОВД                        </t>
  </si>
  <si>
    <t xml:space="preserve">Противопожарная безоп-ть  </t>
  </si>
  <si>
    <t>Национальная экономика</t>
  </si>
  <si>
    <t>Транспорт</t>
  </si>
  <si>
    <t>Меропр-я по землеустройству и землеп.</t>
  </si>
  <si>
    <t>Расходы на управление</t>
  </si>
  <si>
    <t xml:space="preserve">ЖКХ    </t>
  </si>
  <si>
    <t xml:space="preserve">Образование </t>
  </si>
  <si>
    <t>ДМШ</t>
  </si>
  <si>
    <t xml:space="preserve">Культура </t>
  </si>
  <si>
    <t>Здравоохранение</t>
  </si>
  <si>
    <t>Спорт и физическая культура</t>
  </si>
  <si>
    <t>Юго-Камское городское поселение</t>
  </si>
  <si>
    <t xml:space="preserve">Начальник финансово-экономического управления                               </t>
  </si>
  <si>
    <r>
      <t>Социальная политика р.10 (</t>
    </r>
    <r>
      <rPr>
        <sz val="8"/>
        <rFont val="Times New Roman"/>
        <family val="1"/>
      </rPr>
      <t>расходы на управление)</t>
    </r>
  </si>
  <si>
    <t>000 100 00000 00 0000 000</t>
  </si>
  <si>
    <t>000 101 00000 00 0000 000</t>
  </si>
  <si>
    <t>Налоги на прибыль, доходы</t>
  </si>
  <si>
    <t xml:space="preserve">000 101 02000 01 0000 110 </t>
  </si>
  <si>
    <t>Налог на доходы физических лиц</t>
  </si>
  <si>
    <t>000 105 00000 00 0000 000</t>
  </si>
  <si>
    <t>Налоги на совокупный доход</t>
  </si>
  <si>
    <t xml:space="preserve">000 105 02000 02 0000 110 </t>
  </si>
  <si>
    <t xml:space="preserve">000 105 03000 01 0000 110 </t>
  </si>
  <si>
    <r>
      <t xml:space="preserve">Информация по использованию бюджетных средств, выделенных на капитальное строительство по состоянию на </t>
    </r>
    <r>
      <rPr>
        <b/>
        <sz val="12"/>
        <color indexed="8"/>
        <rFont val="Times New Roman"/>
        <family val="1"/>
      </rPr>
      <t xml:space="preserve"> 01.07.2008г</t>
    </r>
    <r>
      <rPr>
        <b/>
        <sz val="12"/>
        <color indexed="8"/>
        <rFont val="Times New Roman"/>
        <family val="1"/>
      </rPr>
      <t>.</t>
    </r>
  </si>
  <si>
    <t>Единый сельскохозяйственный налог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</si>
  <si>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</si>
  <si>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</si>
  <si>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</si>
  <si>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</si>
  <si>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</si>
  <si>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000 111 00000 00 0000 000</t>
  </si>
  <si>
    <t>Доходы от использования имущества, находящегося в гос. и муниципальной собственности</t>
  </si>
  <si>
    <t>000 111 05010 00 0000 120</t>
  </si>
  <si>
    <t>000 111 05030 00 0000 120</t>
  </si>
  <si>
    <t>000 111 07015 05 0000 120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</si>
  <si>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</si>
  <si>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 собственности муниципальных районов</t>
  </si>
  <si>
    <t>000 112 00000 00 0000 000</t>
  </si>
  <si>
    <t>Платежи при пользовании природными ресурсами</t>
  </si>
  <si>
    <t>000 112 01000 01 0000 120</t>
  </si>
  <si>
    <t>Плата за негативное воздействие на окружающую среду</t>
  </si>
  <si>
    <t>000 114 00000 00 0000 000</t>
  </si>
  <si>
    <t>Доходы от продажи материальных и нематериальных  активов</t>
  </si>
  <si>
    <t>000 114 01050 05 0000 000</t>
  </si>
  <si>
    <t>Доходы от продажи квартир, находящихся в собственности муниципальных районов</t>
  </si>
  <si>
    <t>000 114 02033 05 0000 000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</si>
  <si>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</si>
  <si>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000 114 06014 10 0000 000</t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</si>
  <si>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поселений муниципальных районов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</si>
  <si>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</si>
  <si>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</si>
  <si>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</si>
  <si>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</si>
  <si>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000 117 01000 00 0000 180</t>
  </si>
  <si>
    <t>Невыясненные поступления</t>
  </si>
  <si>
    <t>000 117 02000 03 0000 120</t>
  </si>
  <si>
    <t>Возмещение потерь сельскохозяйственного производства, связанных с изъятием сельскохозяйственных угодий</t>
  </si>
  <si>
    <t>000 117 05000 00 0000 180</t>
  </si>
  <si>
    <t>000 117 08000 00 0000 180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</si>
  <si>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</si>
  <si>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000 119 00000 00 0000 000</t>
  </si>
  <si>
    <t>Возврат остатков субсидий и субвенций прошлых лет</t>
  </si>
  <si>
    <t>000 2 00 00000 00 0000 000</t>
  </si>
  <si>
    <t>БЕЗВОЗМЕЗДНЫЕ ПОСТУПЛЕНИЯ</t>
  </si>
  <si>
    <t>000 202 01000 00 0000 151</t>
  </si>
  <si>
    <t>Дотации</t>
  </si>
  <si>
    <t>000 202 02000 00 0000 151</t>
  </si>
  <si>
    <t>Субсидии</t>
  </si>
  <si>
    <t>000 202 03000 00 0000 151</t>
  </si>
  <si>
    <t>Субвенции</t>
  </si>
  <si>
    <t>000 202 04000 00 0000 151</t>
  </si>
  <si>
    <t>Иные межбюджетные трансферты</t>
  </si>
  <si>
    <t>000 207 00000 00 0000 180</t>
  </si>
  <si>
    <t>Прочие безвозмездные поступления</t>
  </si>
  <si>
    <t>000 300 00000 00 0000 000</t>
  </si>
  <si>
    <t>ДОХОДЫ ОТ ПРЕДПРИНИМАТЕЛЬСКОЙ И ИНОЙ ПРИНОСЯЩЕЙ ДОХОД  ДЕЯТЕЛЬНОСТИ</t>
  </si>
  <si>
    <t>000 302 00000 00 0000 130</t>
  </si>
  <si>
    <t>Доходы от продажи услуг</t>
  </si>
  <si>
    <t>000 303 00000 00 0000 151</t>
  </si>
  <si>
    <t>Безвозмездные поступления от  бюджетов бюджетной системы РФ</t>
  </si>
  <si>
    <t>000 303 00000 00 0000 180</t>
  </si>
  <si>
    <t>0100</t>
  </si>
  <si>
    <t>Общегосударственные вопросы</t>
  </si>
  <si>
    <t>0102</t>
  </si>
  <si>
    <t>0103</t>
  </si>
  <si>
    <t>0104</t>
  </si>
  <si>
    <t>0105</t>
  </si>
  <si>
    <t>Судебная система</t>
  </si>
  <si>
    <t>0106</t>
  </si>
  <si>
    <t>0107</t>
  </si>
  <si>
    <t>0112</t>
  </si>
  <si>
    <t>Резервные фонды</t>
  </si>
  <si>
    <t>0114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</si>
  <si>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</si>
  <si>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</si>
  <si>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</si>
  <si>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</si>
  <si>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</si>
  <si>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</si>
  <si>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</si>
  <si>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</si>
  <si>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</si>
  <si>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</si>
  <si>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0405</t>
  </si>
  <si>
    <t>Сельское хозяйство и рыболовство</t>
  </si>
  <si>
    <t>0408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</si>
  <si>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</si>
  <si>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</si>
  <si>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</si>
  <si>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</si>
  <si>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</si>
  <si>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</si>
  <si>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</si>
  <si>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</si>
  <si>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</si>
  <si>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</si>
  <si>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</si>
  <si>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</si>
  <si>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</si>
  <si>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</si>
  <si>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</si>
  <si>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</si>
  <si>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</si>
  <si>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</si>
  <si>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</si>
  <si>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</si>
  <si>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</si>
  <si>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</si>
  <si>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</si>
  <si>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</si>
  <si>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</si>
  <si>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</si>
  <si>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</si>
  <si>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</si>
  <si>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</si>
  <si>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</si>
  <si>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</si>
  <si>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</si>
  <si>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</si>
  <si>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0804</t>
  </si>
  <si>
    <t>Периодическая печать и издательства</t>
  </si>
  <si>
    <t>0806</t>
  </si>
  <si>
    <t>0900</t>
  </si>
  <si>
    <t>0901</t>
  </si>
  <si>
    <t>Стационарная медицинская помощь</t>
  </si>
  <si>
    <t>0904</t>
  </si>
  <si>
    <t>Скорая медицинская помощь</t>
  </si>
  <si>
    <t>0908</t>
  </si>
  <si>
    <t>Физическая культура и спорт</t>
  </si>
  <si>
    <t>0910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</si>
  <si>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</si>
  <si>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</si>
  <si>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</si>
  <si>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</si>
  <si>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</si>
  <si>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</si>
  <si>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Бершетское поселение, всего в т.ч.</t>
  </si>
  <si>
    <t>Гамовское поселение, всего в т.ч.</t>
  </si>
  <si>
    <t>Двуреченское поселение, всего в т.ч.</t>
  </si>
  <si>
    <t>Заболотское поселение, всего в т.ч.</t>
  </si>
  <si>
    <t>Кондратовское поселение всего в т.ч.</t>
  </si>
  <si>
    <t>Кояновское поселение, всего в т.ч.</t>
  </si>
  <si>
    <t>Кукуштанское поселение, всего в т.ч.</t>
  </si>
  <si>
    <t>Култаевское поселение, всего в т.ч.</t>
  </si>
  <si>
    <t>Курашимское поселение, всего в т.ч.</t>
  </si>
  <si>
    <t>Лобановское поселение, всего в т.ч.</t>
  </si>
  <si>
    <t>Лядовское поселение, всего в т.ч.</t>
  </si>
  <si>
    <t>Мостовское поселение, всего в т.ч.</t>
  </si>
  <si>
    <t>Мулянское поселение, всего в т.ч.</t>
  </si>
  <si>
    <t>Н-Муллинское поселение, всего в т.ч.</t>
  </si>
  <si>
    <t>Пальниковское поселение, всего в т.ч.</t>
  </si>
  <si>
    <t>Платошинское поселение, всего в т.ч.</t>
  </si>
  <si>
    <t>Рождественское поселение, всего в т.ч.</t>
  </si>
  <si>
    <t>Савинское поселение, всего в т.ч.</t>
  </si>
  <si>
    <t>Соколовское поселение, всего в т.ч.</t>
  </si>
  <si>
    <t>Сылвенское поселение, всего в т.ч.</t>
  </si>
  <si>
    <t>Усть-Качкинское поселение, всего в т.ч.</t>
  </si>
  <si>
    <t>Фроловское поселение, всего в т.ч.</t>
  </si>
  <si>
    <t>Хохловское поселение, всего в т.ч.</t>
  </si>
  <si>
    <t>Юго-Камское поселение, всего в т.ч.</t>
  </si>
  <si>
    <t>Юговское поселение, всего в т.ч.</t>
  </si>
  <si>
    <t>Районный бюджет, в т.ч.</t>
  </si>
  <si>
    <t>Всего консолидированный бюджет</t>
  </si>
  <si>
    <t xml:space="preserve">          Гладких Т.Н.</t>
  </si>
  <si>
    <t>итого</t>
  </si>
  <si>
    <t xml:space="preserve">               Гладких Т.Н.</t>
  </si>
  <si>
    <t xml:space="preserve">                   Гладких Т.Н.</t>
  </si>
  <si>
    <r>
      <t xml:space="preserve">Предусмотрено в районном бюджете на год </t>
    </r>
    <r>
      <rPr>
        <b/>
        <sz val="11"/>
        <rFont val="Times New Roman Cyr"/>
        <family val="0"/>
      </rPr>
      <t xml:space="preserve"> </t>
    </r>
    <r>
      <rPr>
        <b/>
        <u val="single"/>
        <sz val="11"/>
        <rFont val="Times New Roman Cyr"/>
        <family val="0"/>
      </rPr>
      <t xml:space="preserve">3 000 </t>
    </r>
    <r>
      <rPr>
        <sz val="11"/>
        <rFont val="Times New Roman Cyr"/>
        <family val="1"/>
      </rPr>
      <t xml:space="preserve"> тыс.рублей</t>
    </r>
  </si>
  <si>
    <t>распоряжение главы № 51-р</t>
  </si>
  <si>
    <t>Управление ЖКХ администрации ПМР</t>
  </si>
  <si>
    <t xml:space="preserve">приобретение передвижных дизельных электростанций </t>
  </si>
  <si>
    <t>приобретение автоводовоза</t>
  </si>
  <si>
    <t xml:space="preserve"> Начальник финансово-экономического управления</t>
  </si>
  <si>
    <t xml:space="preserve">      Гладких Т.Н.</t>
  </si>
  <si>
    <t>Фактические затраты по капремонту  (КС-2) за отчетный период</t>
  </si>
  <si>
    <t>Кассовый расход за отчетный период</t>
  </si>
  <si>
    <t>0302 Национальная безопасность</t>
  </si>
  <si>
    <t>ОВД</t>
  </si>
  <si>
    <t xml:space="preserve"> руб.</t>
  </si>
  <si>
    <t>Информация о  задолженности по платежам в районный бюджет                                                                на 01.07.2008 г.</t>
  </si>
  <si>
    <t>Задолженность на 01.07.2008</t>
  </si>
  <si>
    <t>Примечание: В  целях  обеспечения  сопоставимости  показателей  по  недоимке  по состоянию на 01.01.2008 г. и на 01.07.2008г. в разрезе налогов   размер недоимки на начало года приводится в условия текущего года путем применения нормативов отчислений, установленных бюджетным кодексом РФ и Законами Пермского края от 12.10.2007 № 111-ПК "О бюджетном процессе в Пермском крае" и от 26.12.2007 № 169 - ПК "О бюджете Пермского края на 2008 год и на плановый период 2009 и 2010 годов"</t>
  </si>
  <si>
    <t>Форма  № К-18</t>
  </si>
  <si>
    <t>Форма  № К-17</t>
  </si>
  <si>
    <t>Начальник финансово-экономического управления                                             Т.Н.Гладких</t>
  </si>
  <si>
    <t>Управление жилищно-коммунального хозяйства</t>
  </si>
  <si>
    <t>0501 Жилищное хозяйство</t>
  </si>
  <si>
    <t>0502 Коммунальное хозяйство</t>
  </si>
  <si>
    <t>0700 Образование</t>
  </si>
  <si>
    <t>ДШИ</t>
  </si>
  <si>
    <t xml:space="preserve">0900 Здравоохранение </t>
  </si>
  <si>
    <t>Управление здравоохранения</t>
  </si>
  <si>
    <t xml:space="preserve">                                                            Т.Н. Гладких</t>
  </si>
  <si>
    <t xml:space="preserve">    Т.Н. Гладких</t>
  </si>
  <si>
    <t>отклоне             ние</t>
  </si>
  <si>
    <t>в 2008</t>
  </si>
  <si>
    <t>Содержание тер-х органов ЗАГС</t>
  </si>
  <si>
    <t>Составление списков кандидатов и присяжных заседателей</t>
  </si>
  <si>
    <t>Повышение денежного довольствия сотрудникам ОВД</t>
  </si>
  <si>
    <t>Обеспечение  равной доступности транспортных услуг общественного транспорта</t>
  </si>
  <si>
    <t>Дополнительное вознагражде-ние за классное руководство</t>
  </si>
  <si>
    <t>Компенсация части родит.платы за сод.ребенка</t>
  </si>
  <si>
    <t>Администрирование полномочий по выплате компенсаций части родит.платы за содержание ребенка в муниц.образоват.учр.</t>
  </si>
  <si>
    <t>Средства для выплат медицинскому персоналу ФАПов и скорой помощи</t>
  </si>
  <si>
    <t>Обеспечение жильем отдельных категорий граждан, предусмотр-ых ФЗ "О ветеранах" и "О соц.защ.инвалидов"</t>
  </si>
  <si>
    <t>Содержание ребенка в семье опекуна и приемной семье</t>
  </si>
  <si>
    <t>ФОТ (приемные семьи)</t>
  </si>
  <si>
    <t>прочие расходы (приемные семьи)</t>
  </si>
  <si>
    <t xml:space="preserve">выплаты семьям опекунов </t>
  </si>
  <si>
    <t>Единовр. пособие при всех формах устройства детей-сирот</t>
  </si>
  <si>
    <t>Создание и организация деятельности административных комиссий</t>
  </si>
  <si>
    <t>Обеспечение сохранности Архивного фонда</t>
  </si>
  <si>
    <t>Осуществление контроля за размещением и деятельностью игорного бизнеса</t>
  </si>
  <si>
    <t>Комиссии по делам несовершеннолетних</t>
  </si>
  <si>
    <t>Информация о финансировании СУБВЕНЦИЙ поселений по состоянию на 01.07.2008 год</t>
  </si>
  <si>
    <t>Территориальные избирательные комиссии</t>
  </si>
  <si>
    <t>Исполнение функций по обслуживанию получателей средств областного бюджета</t>
  </si>
  <si>
    <t>Страхование дружинников</t>
  </si>
  <si>
    <t>Субсидии на обеспечение поддержки с/хозяйственного производства</t>
  </si>
  <si>
    <t>Возмещение затрат на уплату процентов по кредитам</t>
  </si>
  <si>
    <t>Приобретение жилья для детей сирот</t>
  </si>
  <si>
    <t>Реализация части гос.стандарта</t>
  </si>
  <si>
    <t>фонд оплаты труда</t>
  </si>
  <si>
    <t>материальные затраты</t>
  </si>
  <si>
    <t>Воспитание и обучение детей-инвалидов в детских садах</t>
  </si>
  <si>
    <t>Обеспечение социальной поддержки учащихся многодетных и малоимущих семей</t>
  </si>
  <si>
    <t xml:space="preserve">питание </t>
  </si>
  <si>
    <t xml:space="preserve">одежда </t>
  </si>
  <si>
    <t>Поддержка мер соц.поддержки учащимся из малоимущих семей</t>
  </si>
  <si>
    <t>Реализация мер соц.поддержки по оплате ЖКУ отдельным категориям граждан</t>
  </si>
  <si>
    <t>Перечислено от главных администраторов доходов</t>
  </si>
  <si>
    <t xml:space="preserve">Всего </t>
  </si>
  <si>
    <t>Итого полномочия на решение вопросов местного значения</t>
  </si>
  <si>
    <t>Информация об объемах долевого участия в исполнении областных и краевых целевых программ, финансируемых за счет расходов краевого бюджета,  по состоянию на 01.07.2008 г.</t>
  </si>
  <si>
    <r>
      <t xml:space="preserve">Информация об объемах  финансирования муниципальных целевых программ,  по состоянию на </t>
    </r>
    <r>
      <rPr>
        <b/>
        <sz val="12"/>
        <rFont val="Times New Roman Cyr"/>
        <family val="0"/>
      </rPr>
      <t>01.07.2008 г.</t>
    </r>
  </si>
  <si>
    <t>Реализация мер соц.поддержки по оплате ЖКУ пед.работникам</t>
  </si>
  <si>
    <t>Санаторно-курортное лечение и оздоровление раб.бюдж.сферы</t>
  </si>
  <si>
    <t>образование</t>
  </si>
  <si>
    <t>культура</t>
  </si>
  <si>
    <t>здравоохранение</t>
  </si>
  <si>
    <t>Информация об использовании средств резервного фонда  по состоянию на 01.07.2008 год</t>
  </si>
  <si>
    <t>распоряжение главы №201-р</t>
  </si>
  <si>
    <t>Управление образования администрации МО"Пермский муниципальный район"</t>
  </si>
  <si>
    <t>на проведение аварийных работ по восстановлению электроснабжения в МОУ Конзаводская СОШ</t>
  </si>
  <si>
    <t>Регулирование тарифов на перевозки пассажиров и багажа автомобильным и городским электрическим транспортом</t>
  </si>
  <si>
    <t>Итого полномочия субъекта РФ</t>
  </si>
  <si>
    <t>Региональный фонд софинансирования</t>
  </si>
  <si>
    <t>Приоритетные региональные проекты</t>
  </si>
  <si>
    <t xml:space="preserve">КЦП "Обеспечение жильем молодых семей в Пермском крае"        </t>
  </si>
  <si>
    <t>Подпрограмма "Обеспечение жильем молодых семей"</t>
  </si>
  <si>
    <t>Поведение кап.ремонта многоквартирных домов</t>
  </si>
  <si>
    <t>ФЦП "Социальное развитие села до 2010 года"</t>
  </si>
  <si>
    <t>Разработка генерального плана поселения</t>
  </si>
  <si>
    <t>КЦП "Социальное развитие сельской местности Пермского края на 2007-2010 гг"</t>
  </si>
  <si>
    <t xml:space="preserve">остаток </t>
  </si>
  <si>
    <t>6(гр.4-гр.3)</t>
  </si>
  <si>
    <t>Форма № К-4</t>
  </si>
  <si>
    <t>Наименование ОЦП, КЦП и главных распорядителей бюджетных средств</t>
  </si>
  <si>
    <t>за счет средств краевого бюджета</t>
  </si>
  <si>
    <t>за счет средств местного бюджета</t>
  </si>
  <si>
    <t>Наименование проекта</t>
  </si>
  <si>
    <t>Предусмотрено в местном бюджете на 2008 год (уточненный план)</t>
  </si>
  <si>
    <t>В том числе предусмотрено в местном бюджете на 2008 год по утвержденным проектам в 2006-2007 гг.</t>
  </si>
  <si>
    <t>Перечислено из краевого бюджета в 2008 году (нарастающим итогом) на отчетную дату</t>
  </si>
  <si>
    <t>Объем фактически выполненных работ (услуг) в 2008 году (нарастающим итогом)</t>
  </si>
  <si>
    <t>Объем оплаченных работ (кассовые расходы) в 2008 году</t>
  </si>
  <si>
    <t>всего</t>
  </si>
  <si>
    <t>в том числе  за счет:</t>
  </si>
  <si>
    <t>в том числе за счет:</t>
  </si>
  <si>
    <t>Информация о состоянии муниципального долга Пермского района по состоянию на 01 июля 2008 года</t>
  </si>
  <si>
    <t xml:space="preserve">бюджета Пермского края </t>
  </si>
  <si>
    <t>местного  бюджета</t>
  </si>
  <si>
    <t>бюджета Пермского края (70%)</t>
  </si>
  <si>
    <t>местного бюджета (30%)</t>
  </si>
  <si>
    <t>бюджета Пермского края</t>
  </si>
  <si>
    <t>Реализация приоритетных проектов (программ)</t>
  </si>
  <si>
    <t>Информация о расшифровке остатков на счетах по учету средств районного бюджета, бюджетов сельских  поселений по состоянию на 01 июля 2008 года</t>
  </si>
  <si>
    <t>«Новая школа»</t>
  </si>
  <si>
    <t>«Качественное здравоохранение»</t>
  </si>
  <si>
    <t>«Достойное жилье»</t>
  </si>
  <si>
    <t>«Муниципальные дороги»</t>
  </si>
  <si>
    <t>Итого по приоритетным проектам</t>
  </si>
  <si>
    <t>Приложение  21</t>
  </si>
  <si>
    <t>к решению Земского Собрания</t>
  </si>
  <si>
    <t xml:space="preserve">от           №     </t>
  </si>
  <si>
    <t>конкурс по отбору управл. компаний</t>
  </si>
  <si>
    <t>регулие тарифов на товары и услуги организ.коммунального комплекса</t>
  </si>
  <si>
    <t>софинансирование КЦП "Обеспечение жильем молодых семей"</t>
  </si>
  <si>
    <t>софинансирование ФЦП "Социальное развитие села до 2010 года" на улучшение жилищных условий</t>
  </si>
  <si>
    <t>капитальный ремонт жилищного фонда</t>
  </si>
  <si>
    <t xml:space="preserve"> выполнение части функций по кап.ремонту жилищного фонда </t>
  </si>
  <si>
    <t>кап.ремонт автомо-бильных дорог, мостов в границах населенных пунктов поселения</t>
  </si>
  <si>
    <t>разработка рабочего проекта кап.ремонта дорог в границах населенных пунктов поселения</t>
  </si>
  <si>
    <t xml:space="preserve"> организация проведения кап.ремонта дорог, мостов</t>
  </si>
  <si>
    <t>кап.ремонт систем комму-нального комплекса</t>
  </si>
  <si>
    <t>выполнение части функций по кап.ремонту систем коммунального комплекса</t>
  </si>
  <si>
    <t>финанси-рование инвести-ционных проектов</t>
  </si>
  <si>
    <t>обслуживание получателей средств бюджетов поселений</t>
  </si>
  <si>
    <t>комплектование книжного фонда библиотек</t>
  </si>
  <si>
    <t>испол.</t>
  </si>
  <si>
    <t xml:space="preserve">Култаевское </t>
  </si>
  <si>
    <t xml:space="preserve">Пальниковское </t>
  </si>
  <si>
    <t xml:space="preserve">Сылвенское </t>
  </si>
  <si>
    <t>Всего:</t>
  </si>
  <si>
    <t>код</t>
  </si>
  <si>
    <t>Доходы</t>
  </si>
  <si>
    <t>Ожидаемое исполнение</t>
  </si>
  <si>
    <t>% ожидаемого исполнения</t>
  </si>
  <si>
    <t>000</t>
  </si>
  <si>
    <t>100 00000 00 0000 000</t>
  </si>
  <si>
    <t>101 00000 00 0000 000</t>
  </si>
  <si>
    <t xml:space="preserve">1 01 02000 01 0000 110 </t>
  </si>
  <si>
    <t>182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</si>
  <si>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</si>
  <si>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</si>
  <si>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</si>
  <si>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</si>
  <si>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</si>
  <si>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чатных нотариусов и других лиц, занимающихся частной практикой </t>
  </si>
  <si>
    <t>1 01 02022 01 0000 110</t>
  </si>
  <si>
    <t>налог на доходы физических лиц с доходов, облагаемых по налоговой ставке, установленной пунктом 1 статьи 22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</si>
  <si>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1 01 02030 01 0000 110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</si>
  <si>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</si>
  <si>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</si>
  <si>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</si>
  <si>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1 05 00000 00 0000 000</t>
  </si>
  <si>
    <t>1 05 02000 02 0000 110</t>
  </si>
  <si>
    <t>Единый налог на вмененный доход для отдельных видов деятельности</t>
  </si>
  <si>
    <t xml:space="preserve">1 05 03000 01 0000 110 </t>
  </si>
  <si>
    <t>108 00000 00 0000 000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</si>
  <si>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</si>
  <si>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</si>
  <si>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1 08 03010 01 0000 110 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</si>
  <si>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</si>
  <si>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</si>
  <si>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юридических значимых действий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</si>
  <si>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</si>
  <si>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 а также за государственную регистрацию изменений их учредительных документов</t>
  </si>
  <si>
    <t>1 08 07140 01 0000 110</t>
  </si>
  <si>
    <t>государственная 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средствами.</t>
  </si>
  <si>
    <t>163</t>
  </si>
  <si>
    <t>1 08 07150 01 0000 110</t>
  </si>
  <si>
    <t>Государственная пошлина за выдачу разрешения на распространение наружной рекламы</t>
  </si>
  <si>
    <t>10900000 00 0000 000</t>
  </si>
  <si>
    <t>1 09 01030 05 0000 110</t>
  </si>
  <si>
    <t>Налог на прибыль организаций, зачислявшийся до 1 января 2005 года  в местные бюджеты, мобилизуемый  на территориях  муниципальных районов</t>
  </si>
  <si>
    <t>1 09 04000 00 0000 110</t>
  </si>
  <si>
    <t>1 09 04040 01 0000 110</t>
  </si>
  <si>
    <t>Налог с имущества, переходящего в порядке наследования или дарения</t>
  </si>
  <si>
    <t>1 09 04050 03 0000 110</t>
  </si>
  <si>
    <t>Земельный налог по обязательствам, возникшим до 01.01.2006г.</t>
  </si>
  <si>
    <t>1 09 07000 00 0000 000</t>
  </si>
  <si>
    <t>Прочие налоги и сборы (по отмененным местным налогам и сборам)</t>
  </si>
  <si>
    <t>1 09 07010 05 0000 110</t>
  </si>
  <si>
    <t>Налог на рекламу, мобилизуемый на территориях муниципальных районов</t>
  </si>
  <si>
    <t>1 0 9 07030 05 0000 110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</si>
  <si>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</si>
  <si>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1 09 07050 05 0000 110</t>
  </si>
  <si>
    <t>Прочие местные налоги и сборы,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</si>
  <si>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</si>
  <si>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</si>
  <si>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</si>
  <si>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или иной платы за передачу в возмездное пользование государственного или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</si>
  <si>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</si>
  <si>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</si>
  <si>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1 11 05010 10 0000 120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</si>
  <si>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</si>
  <si>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</si>
  <si>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</si>
  <si>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</si>
  <si>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 муниципальных районов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</si>
  <si>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</si>
  <si>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</si>
  <si>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</si>
  <si>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</t>
  </si>
  <si>
    <t>0401</t>
  </si>
  <si>
    <t>Общеэкономические вопросы</t>
  </si>
  <si>
    <t xml:space="preserve">Информация об объемах долевого участия в исполнении областных и краевых целевых программ, финансируемых за счет расходов краевого бюджета,  по состоянию на 01.07.2008 года                                                                                    </t>
  </si>
  <si>
    <t>"Приведение в нормативное состояние объектов социальной сферы"</t>
  </si>
  <si>
    <t>"Оказание содействия жителям Пермского края в переселении…"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</si>
  <si>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</si>
  <si>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</si>
  <si>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112 00000 00 0000 000</t>
  </si>
  <si>
    <t>1 12 01000 01 0000 120</t>
  </si>
  <si>
    <t>114 00000 00 0000 000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</si>
  <si>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</si>
  <si>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</si>
  <si>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</si>
  <si>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1 14 02033 05 0000 410</t>
  </si>
  <si>
    <t>114 06000 00 0000 420</t>
  </si>
  <si>
    <t>Доходы от продажи земельных участков, находящихся в государственной и муниципальной собственности  (за исключением земельных участков автономных учтеждений, а также земельных участков государственных и муниципальных предприятий, в том числе казенных)</t>
  </si>
  <si>
    <t>1 14 06014 10 0000 420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</si>
  <si>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</si>
  <si>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>116 00000 00 0000 000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</si>
  <si>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</si>
  <si>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</si>
  <si>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</si>
  <si>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и 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</si>
  <si>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</si>
  <si>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</si>
  <si>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</si>
  <si>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</si>
  <si>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</si>
  <si>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 за административные правонарушения в области государственного регулирования производства и оборота этилового спирта,  алкогольной, спиртосодержащей и табачной продукции продукции</t>
  </si>
  <si>
    <t>1 16 18050 05 0000 140</t>
  </si>
  <si>
    <t>Денежные взыскания за нарушение бюджетного законодательства в части бюджетов муниципальных районов</t>
  </si>
  <si>
    <t>1 16 21000 00 0000 140</t>
  </si>
  <si>
    <t>2.15.</t>
  </si>
  <si>
    <t>Капитальный ремонт улично-дорожной сети Хохловскогос.п.</t>
  </si>
  <si>
    <t>а/дорога Мостовая Насадка</t>
  </si>
  <si>
    <t>а/дорога Ляды-Троица</t>
  </si>
  <si>
    <t>0,185 тыс.м 2</t>
  </si>
  <si>
    <t>а/дорога Рождественское -Усть-Пизя</t>
  </si>
  <si>
    <t>14,0 тыс.м 2</t>
  </si>
  <si>
    <t>3.5.</t>
  </si>
  <si>
    <t>а/дорога Красный Восход-Луговая</t>
  </si>
  <si>
    <t>3.6.</t>
  </si>
  <si>
    <t>а/дорога Горшки-Новоильинск</t>
  </si>
  <si>
    <t>18,0 тыс.м 2</t>
  </si>
  <si>
    <t>3.7.</t>
  </si>
  <si>
    <t>А/дорога "Городская свалка-Жебреи"-Русское поле</t>
  </si>
  <si>
    <t>3.8.</t>
  </si>
  <si>
    <t>текущий ремонт</t>
  </si>
  <si>
    <t>а/дорога транспортная развязка "Болгары-Юго-Камск-Крылово"ООО Универсал</t>
  </si>
  <si>
    <t>Информация о  расходах бюджета на дорожное хозяйство по состоянию на 01.07.2008г.</t>
  </si>
  <si>
    <t>На отчет-ныйй период</t>
  </si>
  <si>
    <t>Кассо-вые расхо-ды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</si>
  <si>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</si>
  <si>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</si>
  <si>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</si>
  <si>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1 16 25000 01 0000 140</t>
  </si>
  <si>
    <t>Денежные взыскания (штрафы) за нарушение законодательства о недрах, об особо охраняемых природных террториях,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</si>
  <si>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>1 16 25010 01 0000 140</t>
  </si>
  <si>
    <t>денежные взыскания 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</si>
  <si>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</si>
  <si>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использованию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</si>
  <si>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</si>
  <si>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</si>
  <si>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</si>
  <si>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 (штрафы) за нарушение земельного законодательства</t>
  </si>
  <si>
    <t>1 16 27000 01 0000 140</t>
  </si>
  <si>
    <t>Денежные взыскания  (штрафы) за нарушение ФЗ "О пожарной безопасности"</t>
  </si>
  <si>
    <t>1 16 28000 01 0000 140</t>
  </si>
  <si>
    <t>Денежные взыскания (штрафы)за нарушение закоодательства в области обеспечения  санитарно- 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</si>
  <si>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</si>
  <si>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</si>
  <si>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</si>
  <si>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 xml:space="preserve">Прочие поступления от денежных взысканий (штрафов) и иных сумм в возмещение ущерба </t>
  </si>
  <si>
    <t>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</si>
  <si>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</si>
  <si>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1 17 00000 00 0000 000</t>
  </si>
  <si>
    <t>001</t>
  </si>
  <si>
    <t>1 17 01050 05 0000 000</t>
  </si>
  <si>
    <t>1 17 05000 00 0000 180</t>
  </si>
  <si>
    <t>1 17 05050 05 0000 180</t>
  </si>
  <si>
    <t xml:space="preserve"> прочие неналоговые доходы бюджетов муниципальных районов</t>
  </si>
  <si>
    <t>1 19 00000 00 0000 000</t>
  </si>
  <si>
    <t>1 19 05000 05 0000 151</t>
  </si>
  <si>
    <t>Возврат остатков субсидий и субвенций из бюджетов муниципальных районов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</si>
  <si>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</si>
  <si>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</si>
  <si>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</si>
  <si>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</si>
  <si>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300 00000 00 0000 000</t>
  </si>
  <si>
    <t>Доходы от предпринимательской и иной приносящей доход деятельности</t>
  </si>
  <si>
    <t xml:space="preserve"> 3 02 01050 05 0000 130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</si>
  <si>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</si>
  <si>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3 03 01050 05 0000 151</t>
  </si>
  <si>
    <t>Безвозмездные поступления от бюджетов бюдженой системы учреждениям, находящимся в ведении органов местного самоуправления муниципальных районов</t>
  </si>
  <si>
    <t xml:space="preserve"> 3 03 02050 05 0000 180</t>
  </si>
  <si>
    <t>ВСЕГО ДОХОДОВ</t>
  </si>
  <si>
    <t>РАЗДЕЛ 1. ДОХОДЫ</t>
  </si>
  <si>
    <t>(тыс.руб.)</t>
  </si>
  <si>
    <t>НАИМЕНОВАНИЕ ПОКАЗАТЕЛЯ</t>
  </si>
  <si>
    <t>Исполнено</t>
  </si>
  <si>
    <t>% испон.</t>
  </si>
  <si>
    <t>откл</t>
  </si>
  <si>
    <t xml:space="preserve">Единый налог на вмененный доход для отдельных видов деятельности </t>
  </si>
  <si>
    <t>000 111 03050 00 0000 120</t>
  </si>
  <si>
    <t>Национ-я экономика</t>
  </si>
  <si>
    <t>Информация о кредиторской задолженности по состоянию на 01.07.2008 г</t>
  </si>
  <si>
    <t>Информация о дебиторской задолженности по состоянию на 01.07.2008 года</t>
  </si>
  <si>
    <t>Проценты, полученные от представления бюджетных кредитов внутри страны</t>
  </si>
  <si>
    <t>Арендная плата за земельные участки, государственная собственность на которые не разграничена и поступления от продажи права на заключение договоров аренды  указанных земельных участков</t>
  </si>
  <si>
    <t>Доходы от сдачи в аренду имущества, находящегося в государственной и муниципальной собственности</t>
  </si>
  <si>
    <t>000 111 08045 05 0000 120</t>
  </si>
  <si>
    <t xml:space="preserve">Итого доходов </t>
  </si>
  <si>
    <t>РАЗДЕЛ 2. РАСХОДЫ</t>
  </si>
  <si>
    <t>Функционирование высшего должностного лица субъекта РФ и органа местного самоуправления</t>
  </si>
  <si>
    <t>Обслуживание гос.и муниципального долга</t>
  </si>
  <si>
    <t>Информация об исполнении консолидированного бюджета в разрезе бюджетов поселений по состоянию на 01.07.2008г.</t>
  </si>
  <si>
    <t>3 595,6</t>
  </si>
  <si>
    <t>000 01 06 08 00 010000 640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</si>
  <si>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</si>
  <si>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</si>
  <si>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0311</t>
  </si>
  <si>
    <t>Другие вопросы в области нац.безопасности и правоохранит деятельности</t>
  </si>
  <si>
    <t xml:space="preserve"> 0600</t>
  </si>
  <si>
    <t>Другие вопросы в области культуры, и средств массовой информации</t>
  </si>
  <si>
    <t>Профицит бюджета                                                                 Дефицит бюджета</t>
  </si>
  <si>
    <t>РАЗДЕЛ 3. ИСТОЧНИКИ  ФИНАНСИРОВАНИЯ ДЕФИЦИТОВ БЮДЖЕТОВ</t>
  </si>
  <si>
    <t>000 09 00 00 00 00 0000 000</t>
  </si>
  <si>
    <t>Источники финансирования дефицита бюджета</t>
  </si>
  <si>
    <t>000 08 00 00 00 00 0000 000</t>
  </si>
  <si>
    <t>Остатки средств бюджетов</t>
  </si>
  <si>
    <t>000 08 00 00 00 00 0000 510</t>
  </si>
  <si>
    <t>Увеличение остатков средств бюджетов</t>
  </si>
  <si>
    <t>000 08 00 00 00 00 0000 610</t>
  </si>
  <si>
    <t>Уменьшение остатков средств бюджетов</t>
  </si>
  <si>
    <t>Т.Н. Гладких</t>
  </si>
  <si>
    <t>Функционирование законодательных (представительных) органов государственной власти и представительных органом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</si>
  <si>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</si>
  <si>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Обеспечение деятельности финансовых, налоговых и таможенных органов надзора</t>
  </si>
  <si>
    <t xml:space="preserve">Обеспечение проведения выборов и референдумов </t>
  </si>
  <si>
    <t>Здравоохранение,физ.культура и спорт</t>
  </si>
  <si>
    <t>Другие вопросы в области здравоохранения</t>
  </si>
  <si>
    <t>Дотации бюджетам муницпальных образований</t>
  </si>
  <si>
    <t>Субсидии бюджетам муницпальных образований</t>
  </si>
  <si>
    <t>Итого расходов</t>
  </si>
  <si>
    <t>000 01 03 00 00 05 0000 810</t>
  </si>
  <si>
    <t>Погашение бюджетом муниципального района кредитов от других бюджетов</t>
  </si>
  <si>
    <t>000 01 06 05 01 05 0000 640</t>
  </si>
  <si>
    <t>Возврат бюджетных кредитов, предоставленных юридическим лицам из бюджета муниципального района</t>
  </si>
  <si>
    <t>Возврат прочих бюджетных кредитов (ссуд), предоставленных из бюджета Пермского муниципального района</t>
  </si>
  <si>
    <t>Источник</t>
  </si>
  <si>
    <t>Уточненный годовой план</t>
  </si>
  <si>
    <t>Информация о перечислении в районный бюджет субвенций и субсидий из бюджетов поселений по состоянию на 01.07.2008 г.</t>
  </si>
  <si>
    <t>Фин.помощь на увеличение ФОТ работником муниц.учреждений</t>
  </si>
  <si>
    <t>АНАЛИЗ ИСПОЛНЕНИЯ БЮДЖЕТА                                                                                               Пермского муниципального района за 1 полугодие 2008 года</t>
  </si>
  <si>
    <r>
      <t>Информация по использованию бюджетных средств, выделенных на капитальный  ремонт по состоянию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на  01.07.2008 г.</t>
    </r>
  </si>
  <si>
    <t>Уточненный план полуг.</t>
  </si>
  <si>
    <t xml:space="preserve">разд. </t>
  </si>
  <si>
    <t>ФБ</t>
  </si>
  <si>
    <t>1003</t>
  </si>
  <si>
    <t>Итого переданные государственные полномочия</t>
  </si>
  <si>
    <t>Итого гос.полномочия не переданные, но осущ-ые ОМС за счет средств ФБ</t>
  </si>
  <si>
    <t>Итого гос.полномочия не переданные, но осущ-ые ОМС за счет средств субъекта РФ</t>
  </si>
  <si>
    <t>ОЦП "Развитие АПК Пермской области на 2006-2008 годы", в т.ч.:</t>
  </si>
  <si>
    <t>субсидии на приобретение основных средств производственного назначения</t>
  </si>
  <si>
    <t>проведение работ по коренному улучшению почв</t>
  </si>
  <si>
    <t>приобретение минеральных удобрений</t>
  </si>
  <si>
    <t>приобретение средств защиты</t>
  </si>
  <si>
    <t>субсидии на приобретение нефтепродуктов</t>
  </si>
  <si>
    <t>Возмещение части затрат на уплату процентов по кредитам</t>
  </si>
  <si>
    <t>1006</t>
  </si>
  <si>
    <t>Обеспечение полномочий по осуществл.опеки и попечит-ва</t>
  </si>
  <si>
    <t>1004</t>
  </si>
  <si>
    <t>Регистр.и учет гр-н, имеющих право на получение жилщных субсидий  в связи с переселением из районов Кр.Севера</t>
  </si>
  <si>
    <t>Восстановление пруда п.Юг</t>
  </si>
  <si>
    <t>Информация по использованию субвенции и субсидии районного бюджета на 01.07.2008 года</t>
  </si>
  <si>
    <t>Информация  о  муниципальных гарантиях Пермского района по состоянию на 01 июля 2008 года</t>
  </si>
  <si>
    <t>Фактическое финансирование за счет средств краевого  и федерального бюджетов</t>
  </si>
  <si>
    <t>0409 Дорожное хозяйство</t>
  </si>
  <si>
    <t>0503 Благоустройство</t>
  </si>
  <si>
    <t>Всего расходов, выделенных на дорожное хозяйство, в том числе:</t>
  </si>
  <si>
    <t>А/дорога "В.Муллы-Нестюково"</t>
  </si>
  <si>
    <t>Мост через р.Мулянка на а/дороге "Пермь-Екатеринбург"-Ферма</t>
  </si>
  <si>
    <t>Водопропусная труба сечением 4,5х4,5 на а/дороге "Кичано-Дикая гарь</t>
  </si>
  <si>
    <t>2.4.</t>
  </si>
  <si>
    <t>А/дорога по Ш.Космонавтов от 312 до д.316</t>
  </si>
  <si>
    <t>2.5.</t>
  </si>
  <si>
    <t>А/дорога "В.Муллы-Нестюково", км 5+00-км 10+840</t>
  </si>
  <si>
    <t>2.6.</t>
  </si>
  <si>
    <t xml:space="preserve">А/дорога "Городская свалка-Жебреи"-Русское поле, км 0- км 1+200 </t>
  </si>
  <si>
    <t>2.7.</t>
  </si>
  <si>
    <t>ПИР на кап.ремонт а/дорога "Кояново-Юг"</t>
  </si>
  <si>
    <t>2.8.</t>
  </si>
  <si>
    <t>ПИР на кап.ремонт  "Юго-Камск-Оханская переправа"</t>
  </si>
  <si>
    <t>2.9.</t>
  </si>
  <si>
    <t>Подъездная дорога к больнице Лобаново</t>
  </si>
  <si>
    <t>2.10.</t>
  </si>
  <si>
    <t>Мост через р.Бабка на а/дороге "Кукуштан-Оса"-п.Сухобизярка (Пальниковское сельское поселение)</t>
  </si>
  <si>
    <t>2.11.</t>
  </si>
  <si>
    <t xml:space="preserve">Кап.ремонт а/дороги "Ферма-Горный" </t>
  </si>
  <si>
    <t>2.12.</t>
  </si>
  <si>
    <t xml:space="preserve">Кап.ремонт улично-дорожнолй сети д.Кондратово </t>
  </si>
  <si>
    <t>2.13.</t>
  </si>
  <si>
    <t>ПИР по кап.ремонту улично-дорож.сети с.Усть-Качка</t>
  </si>
  <si>
    <t>2.14.</t>
  </si>
  <si>
    <t>ПИР по реконстр. Ул.Уральская, п.Ферма (Двуреченское сельское поселение)</t>
  </si>
  <si>
    <t>а/дорога Лобаново-Насадка</t>
  </si>
  <si>
    <t>3.4.</t>
  </si>
  <si>
    <t>ОАО "Пермавтодор"</t>
  </si>
  <si>
    <t>ЗАО "Перминжсельстрой"</t>
  </si>
  <si>
    <t>4.4.</t>
  </si>
  <si>
    <t>Транс Юрал (а/дорога Сылва-Троица)</t>
  </si>
  <si>
    <t>4.5.</t>
  </si>
  <si>
    <t>4.6.</t>
  </si>
  <si>
    <t>4.7.</t>
  </si>
  <si>
    <t>ИП Сатубалов К.Ф. ( Подъезды Юго-Камск)</t>
  </si>
  <si>
    <t>Текущее содержание передаваемых  дорог из обл. бюджета</t>
  </si>
  <si>
    <t>Форма № К-22</t>
  </si>
  <si>
    <t>капитальный ремонт автодорог и искусственных сооружений</t>
  </si>
  <si>
    <t>-</t>
  </si>
  <si>
    <t>текущий ремонт автодорог и искуственных сооружений</t>
  </si>
  <si>
    <t>Транспортная развилка Болгары-Юго-Камск-Крылово</t>
  </si>
  <si>
    <t>Начальник управления ЖКХ__________________Титов Е.С.</t>
  </si>
  <si>
    <t>Исп. Титова Н.В., тел. 2 94 68 83</t>
  </si>
  <si>
    <t>п.3.4.6.11. Проведение ежегодных массовых детских мероприятий и конкурсов по профилактике детского дорожно-транспортного травматизма</t>
  </si>
  <si>
    <t xml:space="preserve">ОВД по Пермскому муниципаль-ному району </t>
  </si>
  <si>
    <t>Управление сельского хозяйства, продовольствия и закупок</t>
  </si>
  <si>
    <t>Реализация инвестиционных проектов (целевых программ)</t>
  </si>
  <si>
    <t>Распределительные газопроводы с.Юг</t>
  </si>
  <si>
    <t>Строительство спортивного комплекса д.Кондратово</t>
  </si>
  <si>
    <t>Межпоселковый газопровод с.Нижний Пальник</t>
  </si>
  <si>
    <t>Итого по инвестиционным проектам</t>
  </si>
  <si>
    <t>Нераспределенные средства</t>
  </si>
  <si>
    <t>Форма № К-19</t>
  </si>
  <si>
    <t xml:space="preserve">в том числе за счет отстатков средств на начало года </t>
  </si>
  <si>
    <t>Управление по делам культуры, молодежи и спорта</t>
  </si>
  <si>
    <t xml:space="preserve">КЦП "Обеспечение жильем молодых семей в Пермском крае на 2007-2010 годы" </t>
  </si>
  <si>
    <t>Финансово-экономическое управление администрации Пермского муниципального района</t>
  </si>
  <si>
    <t>КЦП "Социальное развитие сельской местности Пермского края на 2007-2010 годы"</t>
  </si>
  <si>
    <t>Начальник финансово-экономического управления                                                                   Т.Н.Гладких</t>
  </si>
  <si>
    <t>Форма № К-16</t>
  </si>
  <si>
    <t xml:space="preserve"> Жилье- для молодежи  на 2005-2010годы. Предоставление безвозмездной субсидии физическим лицам на погашение процентов по кредитам, предоставленным банком участникам РЦП.</t>
  </si>
  <si>
    <t>Оказание адресной социальной помощи гражданам Пермского района, оказавшихся в трудных жизненных ситуациях, на 2008-2010 годы, всего, в том числе:</t>
  </si>
  <si>
    <t>Управление по делам семьи и детства</t>
  </si>
  <si>
    <t>Единовременная социальная помощь гражданам, попавшим в трудные жизненные и экстремальные ситуации в результате пожара, стихийного бедствия</t>
  </si>
  <si>
    <t>Единовременная соц.помощь на неотложные нужды (приобретение одежды и обуви, лекарств, оплата лечения мед. обследования, ремонт частного, ветхого жилья и надворных построек, приобретение топлива пенсионерам, не имеющим льгот)</t>
  </si>
  <si>
    <t>Единовременная, срочная соц.помощь остронуждающимся лицам, оказавшимся без средств существования</t>
  </si>
  <si>
    <t>Единовременная соц. помощь семьям с детьми-первоклассниками</t>
  </si>
  <si>
    <t>Единовременная соц. помощь труженникам тыла, ветеранам труда, оказавшимся в трудной жизненной ситуации и в период проведения мероприятий к социально-значимым датам, юбилейным датам.</t>
  </si>
  <si>
    <t>Оказание единовременной социальной помощи инвалидам 1,2,3 группы; семьям, воспитывающим детей-инвалидов на приобретение дорогостоящих лекарств, медицинские обследования и операции, диетическое и витаминизированное питание</t>
  </si>
  <si>
    <t>Оказание единовременной соц. помощи малообеспеченным беременным женщинам со сроком беременности от 30 недель на приобретение  предметов первой необходимости для новорожденных</t>
  </si>
  <si>
    <t>Оформление льготной подписки на газету "Нива"</t>
  </si>
  <si>
    <t>Поддержка малого предпринимательства Пермского муниципального района на 2008-2010 годы. Взнос в уставный капитал Пермского муниципального фонда пооддержки малого предпринимательства.</t>
  </si>
  <si>
    <t>ПМФ ПМП</t>
  </si>
  <si>
    <t>Комплексная программа профилактики правонарушений в Пермском  муниципальном районе на 2006-2008 годы</t>
  </si>
  <si>
    <t xml:space="preserve">п.2.5. Оснащение отдела по делам несовершеннолетних орг.техникой: компьютерами - 5/110,0 тыс. руб., а/м - 1/255 тыс. руб. </t>
  </si>
  <si>
    <t>п. 3.1.4. Обеспечение стимулирования добровольной сдачи оружия и боеприпасов, незаконно хранящихся у населения</t>
  </si>
  <si>
    <t>п.3.1.8.Оснащение группы исполнения административного законодательства оргтехникой: компьютером - 1/22,0 тыс. руб.</t>
  </si>
  <si>
    <t xml:space="preserve">п. 3.3.3. Обеспечение стимулирования граждан за предоставление достоверной информации о подготавливаемых и совершенных правонарушениях </t>
  </si>
  <si>
    <t>п. 3.4.6.4. Приобретение пистолетов ПМ 9мм - 30 шт.х 2,5 тыс.руб., средств индивидуальной защиты - 30шт.х 0,5 тыс.руб.</t>
  </si>
  <si>
    <t>п.3.4.6.10.Оснащение службы охраны общественного порядка  оргтехникой: компьютером - 1/22,0 тыс. руб.</t>
  </si>
  <si>
    <t>п.3.4.7.3.Оптимизация количества служебных помещений участковых уполномоченных милиции обеспечение телефонной связью, оснащение современными средствами связи, множительной техникой:                          - приобретение компьютеров-15/300,0 тыс.руб.                                                                      - приобретение 50 аппаратов сотовой связи- 50 / 75,0 тыс.руб.</t>
  </si>
  <si>
    <t xml:space="preserve">п.3.4.7.8.Оснащение службы участковых уполномоченных милиции автотранспортными средствами и оргтехникой: приобретение компьютеров - 15 / 330,0 тыс. руб., приобретение а/машин -13 / 3 345 тыс.руб.,СГУ - 10 / 150,0 тыс.руб., мобильных радиосистем - 13 / 195 тыс.руб., </t>
  </si>
  <si>
    <t xml:space="preserve">Развитие агропромышленного комплекса Пермского муниципального района на 2006-2008 годы.Всего, в том числе: </t>
  </si>
  <si>
    <t xml:space="preserve">Мероприятия по пропаганде передового опыта в области сельского хозяйства </t>
  </si>
  <si>
    <t>Предоставление субсидий на реализацию мероприятий по развитию молочного производства</t>
  </si>
  <si>
    <t>Пожарная безопасность на 2008-2010 годы. Строительство пожарного депо в д. Кондратово Пермского района (ПИР)</t>
  </si>
  <si>
    <t>Управление капитального строительства</t>
  </si>
  <si>
    <t>план</t>
  </si>
  <si>
    <t>Бершетское</t>
  </si>
  <si>
    <t>Гамовское</t>
  </si>
  <si>
    <t>Двуреченское</t>
  </si>
  <si>
    <t>Заболотское</t>
  </si>
  <si>
    <t>Кондратовское</t>
  </si>
  <si>
    <t>Кояновское</t>
  </si>
  <si>
    <t>Кукуштанское</t>
  </si>
  <si>
    <t>Курашимское</t>
  </si>
  <si>
    <t>Лобановское</t>
  </si>
  <si>
    <t>Мостовское</t>
  </si>
  <si>
    <t>Мулянское</t>
  </si>
  <si>
    <t>Н-Муллинское</t>
  </si>
  <si>
    <t>Платошинское</t>
  </si>
  <si>
    <t>Рождественское</t>
  </si>
  <si>
    <t>Савинское</t>
  </si>
  <si>
    <t>Соколовское</t>
  </si>
  <si>
    <t>Усть-Качкинское</t>
  </si>
  <si>
    <t>Фроловское</t>
  </si>
  <si>
    <t>Хохловское</t>
  </si>
  <si>
    <t>Юго-Камское</t>
  </si>
  <si>
    <t>Форма № К-20</t>
  </si>
  <si>
    <t>Прирост (снижение) за период п.5/п.3*100%</t>
  </si>
  <si>
    <t>Гладких Т.Н.</t>
  </si>
  <si>
    <t>№ п/п</t>
  </si>
  <si>
    <t>Наименование поселений</t>
  </si>
  <si>
    <t xml:space="preserve"> </t>
  </si>
  <si>
    <t>Форма № К-2</t>
  </si>
  <si>
    <t>тыс. рублей</t>
  </si>
  <si>
    <t>в том числе</t>
  </si>
  <si>
    <t>тыс.руб.</t>
  </si>
  <si>
    <t xml:space="preserve">Наименование </t>
  </si>
  <si>
    <t>ДОХОДЫ</t>
  </si>
  <si>
    <t>РАСХОДЫ</t>
  </si>
  <si>
    <t xml:space="preserve">Утверждено по бюджету с учетом изенений </t>
  </si>
  <si>
    <t>План на отчетный период с учетом изменений</t>
  </si>
  <si>
    <t>Фактическое исполнение</t>
  </si>
  <si>
    <t>Процент исполнения к отчетному периоду</t>
  </si>
  <si>
    <t>Доходы (расходы)</t>
  </si>
  <si>
    <t>Безвозмездные перечисления</t>
  </si>
  <si>
    <t>Предпринимательская деятельность</t>
  </si>
  <si>
    <t>Источники внутреннего финансирования</t>
  </si>
  <si>
    <t>ВСЕГО</t>
  </si>
  <si>
    <t>Начальник финансово-экономического управления</t>
  </si>
  <si>
    <t>Форма № К-6</t>
  </si>
  <si>
    <t>тыс.рублей</t>
  </si>
  <si>
    <t>Вид долга</t>
  </si>
  <si>
    <t>На начало года</t>
  </si>
  <si>
    <t>На отчетную дату</t>
  </si>
  <si>
    <t>Муниципальные займы Пермского района, осуществляемые путем выпуска ценных бумаг   Пермского района</t>
  </si>
  <si>
    <t>в том числе:</t>
  </si>
  <si>
    <t>1.1.</t>
  </si>
  <si>
    <t>1.2.</t>
  </si>
  <si>
    <t>1.3.</t>
  </si>
  <si>
    <t>Договоры и соглашения о получении Пермским районом  бюджетных кредитов от бюджетов других уровней бюджетной системы Российской Федерации</t>
  </si>
  <si>
    <t>2.1.</t>
  </si>
  <si>
    <t>2.2.</t>
  </si>
  <si>
    <t>2.3.</t>
  </si>
  <si>
    <t>Соглашения и договоры, заключенные от имени  Пермского района, о пролонгации и реструктуризации долговых обязательств Пермского района прошлых лет</t>
  </si>
  <si>
    <t>3.1.</t>
  </si>
  <si>
    <t>3.2.</t>
  </si>
  <si>
    <t>3.3.</t>
  </si>
  <si>
    <t xml:space="preserve">Кредитные соглашения и договоры </t>
  </si>
  <si>
    <t>4.1.</t>
  </si>
  <si>
    <t>4.2.</t>
  </si>
  <si>
    <t>4.3.</t>
  </si>
  <si>
    <t>5.1.</t>
  </si>
  <si>
    <t>5.2.</t>
  </si>
  <si>
    <t>5.3.</t>
  </si>
  <si>
    <t>Всего за отчетный период</t>
  </si>
  <si>
    <t>Форма № К-7</t>
  </si>
  <si>
    <t>тыс. руб.</t>
  </si>
  <si>
    <t>Наименование получателя гарантий</t>
  </si>
  <si>
    <t xml:space="preserve">Основание для предоставления гарантии </t>
  </si>
  <si>
    <t>Сумма предостав-
ленной гарантии</t>
  </si>
  <si>
    <t>в том числе со сроком погашения задолженности в пределах отчетного периода</t>
  </si>
  <si>
    <t>Сроки гашения задолженности</t>
  </si>
  <si>
    <t>Сведения о гашении задолженности за отчетный период</t>
  </si>
  <si>
    <t>Сумма гарантии на конец отчетного периода</t>
  </si>
  <si>
    <t>окончательный срок</t>
  </si>
  <si>
    <t>в отчетном периоде</t>
  </si>
  <si>
    <t>Всего</t>
  </si>
  <si>
    <t>х</t>
  </si>
  <si>
    <t>Форма № К-8</t>
  </si>
  <si>
    <t>Наименование получателя</t>
  </si>
  <si>
    <t>Остаток долга на начало отчетного периода</t>
  </si>
  <si>
    <t xml:space="preserve">Выдано бюджетных кредитов с нач.года </t>
  </si>
  <si>
    <t>Начислено процентов за пользование кредитом за период с начала года</t>
  </si>
  <si>
    <t>Погашено в отчетном году</t>
  </si>
  <si>
    <t>Остаток долга на конец отчетного периода</t>
  </si>
  <si>
    <t>основной долг</t>
  </si>
  <si>
    <t>Форма № К-9</t>
  </si>
  <si>
    <t>Бюджетные назначения</t>
  </si>
  <si>
    <t>Фактическое финансирование</t>
  </si>
  <si>
    <t>% финансирования</t>
  </si>
  <si>
    <t>на год</t>
  </si>
  <si>
    <t>на отчетный период</t>
  </si>
  <si>
    <t>к году</t>
  </si>
  <si>
    <t>к отчетному периоду</t>
  </si>
  <si>
    <t>гр.5/гр.3</t>
  </si>
  <si>
    <t>гр.5/гр.4</t>
  </si>
  <si>
    <t>Итого</t>
  </si>
  <si>
    <t>Форма № К-10</t>
  </si>
  <si>
    <t>Наименование отраслей и объектов финансирования</t>
  </si>
  <si>
    <t>Заказчики</t>
  </si>
  <si>
    <t>Фактически оплачено заказчиком</t>
  </si>
  <si>
    <t>в том числе, на отчетный период</t>
  </si>
  <si>
    <t>на начало года</t>
  </si>
  <si>
    <t>на отчетную дату</t>
  </si>
  <si>
    <t>CODE</t>
  </si>
  <si>
    <t>Форма № К-11</t>
  </si>
  <si>
    <t>Дата</t>
  </si>
  <si>
    <t>№ документа</t>
  </si>
  <si>
    <t>Наименование распорядителей, получателей бюджетных средств</t>
  </si>
  <si>
    <t>Наименование расходов</t>
  </si>
  <si>
    <t>Сметная стоимость объекта в текущих ценах</t>
  </si>
  <si>
    <t>Фактическое финанси-ование за счет средств краевого бюджета</t>
  </si>
  <si>
    <t>Национальная безопасность и правоохзранительная деятельность</t>
  </si>
  <si>
    <t>Реконструкция здания поселкового отделения милиции в п.Юго-Камский</t>
  </si>
  <si>
    <t>МУ "УКС"</t>
  </si>
  <si>
    <t>Пожарное депо в д. Кондратово Пермского района (ПИР)</t>
  </si>
  <si>
    <t>Восстановление пруда п.Юг Пермского района</t>
  </si>
  <si>
    <t>Проект планировки комплексной застройки д. Кондратово</t>
  </si>
  <si>
    <t>Разработка генерального плана с. Усть-Качка</t>
  </si>
  <si>
    <t xml:space="preserve">Жилищное хозяйство </t>
  </si>
  <si>
    <t>Строительство 8 кв. жилого дома для учителей в с.Усть-Качка</t>
  </si>
  <si>
    <t>Строительство 16-квартирного жилого дома п. Кукуштан</t>
  </si>
  <si>
    <t>МУП ДЕЗ</t>
  </si>
  <si>
    <t>Газификация жилых домов по ул.Коминтерна, Спортивная, М.Гаражная, Ощепковых п. Юго-Камский-1 очередь. Наружные сети газопровода.</t>
  </si>
  <si>
    <t>Газовая котельная библиотеки в с. Юг Пермского района</t>
  </si>
  <si>
    <t>Газовая котельная больницы в с. Юг Пермского района</t>
  </si>
  <si>
    <t>Газовая котельная здания администрации поселения в с. Юг Пермского района</t>
  </si>
  <si>
    <t>Газовая котельная дома культуры в с. Юг Пермского района</t>
  </si>
  <si>
    <t>Газовая котельная с. Кояново</t>
  </si>
  <si>
    <t>Газопровод выского и низкого давления д. Нестюково Пермского района, ул. Бабинская 71, 71а, 71б, 73, 75, 77, 77а</t>
  </si>
  <si>
    <t>Распределительные уличные газопроводы и внутреннее газооборудование жилых домов, с. Кояново</t>
  </si>
  <si>
    <t>Распределительные уличные газопроводы с. Юг Пермского района (ПИР)</t>
  </si>
  <si>
    <t>Распределительные уличные газопроводы с. Юг Пермского района</t>
  </si>
  <si>
    <t>Схема газификации д. Байболовка (ПИР)</t>
  </si>
  <si>
    <t>Газификация частных жилых домов по ул.Садовая, Полевая, Уральская, Молодежная, Новосельская, Степная, Лесная, Набережная, Славяновская, Дачная, пер.Дорожный п.Красный Восход Пермского района</t>
  </si>
  <si>
    <t>Водоснабжение с.Фролы, ст.Ферма Пермского района (корректировка проекта)</t>
  </si>
  <si>
    <t>Газовая котельная школы и жилого дома №88 по ул.Ленина в с.Юг Пермского района</t>
  </si>
  <si>
    <t>Газоснабжение д. Паздерино Пермского района. Наружные газопроводы</t>
  </si>
  <si>
    <t>Газоснабжение Баш.Култаево</t>
  </si>
  <si>
    <t>Очистные сооружения с.Фролы, ст.Ферма (ПИР)</t>
  </si>
  <si>
    <t>Газификация общественно-административного центра Пермского района. Наружные газопроводы.</t>
  </si>
  <si>
    <t>Информация по оценке ожидаемого исполнения доходов районного бюджета по состоянию на 01.07.2008 г.</t>
  </si>
  <si>
    <t>Уточненный годовой план на 01.07.2008г.</t>
  </si>
  <si>
    <t>Прочие безвозмездные поступления учреждениям, находящимся в ведении органов местного мсамоуправления муниципальных районов</t>
  </si>
  <si>
    <t>Начальник ФЭУ Пермского муниципального района                                                                Т.Н.Гладких</t>
  </si>
  <si>
    <t>Распределительный газопровод низкого давления по ул. Набережная, ул. Кудрина, ул. Петровская, ул. Садовая, ул. Ташлыкова в д. Петровка Пермского района</t>
  </si>
  <si>
    <t>Реконструкция газовой котельной п.Сокол Пермского района</t>
  </si>
  <si>
    <t>Распределительные газопроводы среднего и низкого давления по ул. Школьная, Ворошилова, Мира, Коммунистическая, Луговая, Уральская п. Кукуштан</t>
  </si>
  <si>
    <t>Электроснабжение ул. Восточная, ул. Садовая, ул. Центральная в с. Гамово Пермского района</t>
  </si>
  <si>
    <t>Газоснабжение жилых домов по ул. Светлая, по Казанскому тракту 14а, 15а, 16а, 17а, по Яблоневому переулку в д. Ясыри Пермского района</t>
  </si>
  <si>
    <t>Газовые вводы к жилым домам с. Баш.Култаево Пермского района</t>
  </si>
  <si>
    <t>Газоснабжение д. Крохово Пермского района</t>
  </si>
  <si>
    <t>Распределительные газопроводы д. Кочкино Пермского района (ПИР)</t>
  </si>
  <si>
    <t>Распределительные уличные газопроводы д. Касимово (ПИР)</t>
  </si>
  <si>
    <t>Распределительные уличные газопроводы с. Нижний Пальник</t>
  </si>
  <si>
    <t>Межпоселковый газопровод до с. Н.Пальник Пермского района</t>
  </si>
  <si>
    <t>Распределительный газопровод ул. Садовая с. Гамово (ПИР)</t>
  </si>
  <si>
    <t>Газоснабжение жилых домов в  с. Нижние Муллы (2-я очередь), д. Мураши, д. Ежи, д. Пищальниково, д. Усть-Тары, 1 этап</t>
  </si>
  <si>
    <t>ГОУ ДКСОИИС</t>
  </si>
  <si>
    <t>Газоснабжение п.Курашим Пермского района</t>
  </si>
  <si>
    <t>Реконструкция пищеблока МДОУ Песьяновский детский сад</t>
  </si>
  <si>
    <t>Строительство детского сада с бассейном с.Платошино (ПИР)</t>
  </si>
  <si>
    <t>Строительство детского сада с бассейном с.Платошино</t>
  </si>
  <si>
    <t>Детская школа искусств п.Юго-Камский Пермского района</t>
  </si>
  <si>
    <t>Реконструкция части помещений Мулянской средней школы под интернат на 44 человека (ПИР)</t>
  </si>
  <si>
    <t>Строительство СВА с. Курашим</t>
  </si>
  <si>
    <t>Строительство спортивного комплекса д.Кондратово Пермского района (ПИР)</t>
  </si>
  <si>
    <t>Строительство спортивного комплекса д.Кондратово Пермского района</t>
  </si>
  <si>
    <t>Строительство спортивного комплекса с.Лобаново Пермского района</t>
  </si>
  <si>
    <t>Строительство физкультурно-оздоровительного комплекса в с. Култаево Пермского района</t>
  </si>
  <si>
    <t>Реконструкция  МУЗ "Кукуштанская участковая больница " (ПИР)</t>
  </si>
  <si>
    <t>Факти-ческий ввод мощности</t>
  </si>
  <si>
    <t>1,294 км</t>
  </si>
  <si>
    <t>0,495    Гкал-час  0,283 км</t>
  </si>
  <si>
    <t>схема</t>
  </si>
  <si>
    <t>всего за период строитель-ства</t>
  </si>
  <si>
    <t>в т.ч. за отчетный период   (с начала года)</t>
  </si>
  <si>
    <t>п. 3.3.2. Комплекс мер по стимулированию участия общественности в ДНД</t>
  </si>
  <si>
    <t>Начальник финансово-экономического управления                            Т.Н.Гладких</t>
  </si>
  <si>
    <t>Выделено по распоряжению главы Пермского района</t>
  </si>
  <si>
    <t>Всего расходы за счет средств резервного фонда</t>
  </si>
  <si>
    <t>Остаток средств на счетах на отчетную дату</t>
  </si>
  <si>
    <t>Форма № К-12</t>
  </si>
  <si>
    <t>Наименование учреждения</t>
  </si>
  <si>
    <t>Остаток на конец отчетного периода</t>
  </si>
  <si>
    <t>Форма № К-14</t>
  </si>
  <si>
    <t>Форма № К-15</t>
  </si>
  <si>
    <t>Показатели</t>
  </si>
  <si>
    <t>в том числе по счетам бюджетов:</t>
  </si>
  <si>
    <t>Утверждено по бюджету на год</t>
  </si>
  <si>
    <t>Утверждено на отчетный период</t>
  </si>
  <si>
    <t>ИТОГО</t>
  </si>
  <si>
    <t xml:space="preserve">№ п/п </t>
  </si>
  <si>
    <t xml:space="preserve">Наименование МЦП, направления и формы расходования </t>
  </si>
  <si>
    <t>Исполнители</t>
  </si>
  <si>
    <t>Утверждено на год</t>
  </si>
  <si>
    <t>Районный бюджет</t>
  </si>
  <si>
    <t>Форма № К-21</t>
  </si>
  <si>
    <t>№ пп</t>
  </si>
  <si>
    <t>Задолженность на 
начало года</t>
  </si>
  <si>
    <t>Прирост (снижение) за период 
п.4-п.3</t>
  </si>
  <si>
    <t>1.</t>
  </si>
  <si>
    <t>Недоимка - всего,</t>
  </si>
  <si>
    <t>в том  числе по видам налогов и сборов:</t>
  </si>
  <si>
    <t>НДФЛ по актам проверки</t>
  </si>
  <si>
    <t>2.</t>
  </si>
  <si>
    <t>Отсроченные платежи - всего,</t>
  </si>
  <si>
    <t>Итого:</t>
  </si>
  <si>
    <t xml:space="preserve">Начальник финансово-экономического управления </t>
  </si>
  <si>
    <t xml:space="preserve">Начальник финансово-экономического управления      </t>
  </si>
  <si>
    <t xml:space="preserve">Начальник финансово-экономического управления
</t>
  </si>
  <si>
    <t>Форма № К-3</t>
  </si>
  <si>
    <t>перечислено ФЭУ</t>
  </si>
  <si>
    <t>8(гр.4-гр.7)</t>
  </si>
  <si>
    <t>Форма К-1</t>
  </si>
  <si>
    <t>Форма № К-5</t>
  </si>
  <si>
    <t>Форма № К-13</t>
  </si>
  <si>
    <t>Наименование отраслей и главных распорядителей</t>
  </si>
  <si>
    <t>Средства на счетах  бюджета всего,</t>
  </si>
  <si>
    <t>Разделы функциональной классификации</t>
  </si>
  <si>
    <t>Наименование расходов                                             исходя из поименного перечня объектов</t>
  </si>
  <si>
    <t>Протяженность дорог (мостов), км</t>
  </si>
  <si>
    <t>Утверждено расходов по бюджету</t>
  </si>
  <si>
    <t>За отчетный период</t>
  </si>
  <si>
    <t>План</t>
  </si>
  <si>
    <t>Факт</t>
  </si>
  <si>
    <t>На год</t>
  </si>
  <si>
    <t>На отчет-ный период</t>
  </si>
  <si>
    <t>Кассовые расходы</t>
  </si>
  <si>
    <t>Фактичес-кие расходы</t>
  </si>
  <si>
    <t>Расходы на строительство и реконструкцию автодорог и искусственных сооружений</t>
  </si>
  <si>
    <t>Расходы на капитальный ремонт автодорог и искусственных сооружений</t>
  </si>
  <si>
    <t>Расходы на текущий ремонт автодорог и искусственных сооружений</t>
  </si>
  <si>
    <t>Расходы на содержание автодорог и искусственных сооружений</t>
  </si>
  <si>
    <t>Расходы на содержание внеклассных мостов</t>
  </si>
  <si>
    <t>Расходы на мероприятия по обеспечению безопасности дорожного движения</t>
  </si>
  <si>
    <t>6.1.</t>
  </si>
  <si>
    <t>Расходы на приведение в нормативное состояние проезжей части улично-дорожной сети для проезда транзитного транспорта по населенным пунктам</t>
  </si>
  <si>
    <t>7.1.</t>
  </si>
  <si>
    <t xml:space="preserve">Наименование расходов </t>
  </si>
  <si>
    <t>Площадь земельных участков занятых под дорогами общего пользования, га</t>
  </si>
  <si>
    <t>Фактические расходы</t>
  </si>
  <si>
    <t>Расходы, связанные с управлением дорожным хозяйством</t>
  </si>
  <si>
    <t xml:space="preserve">Расходы на уплату земельного налога </t>
  </si>
  <si>
    <t>Расходы на уплату налога на имущество</t>
  </si>
  <si>
    <t xml:space="preserve">    тыс.рублей</t>
  </si>
  <si>
    <t>Задолженность</t>
  </si>
  <si>
    <t>По видам расходов</t>
  </si>
  <si>
    <t>На  конец  отчетного периода</t>
  </si>
  <si>
    <t>дебиторская</t>
  </si>
  <si>
    <t>кредиторская</t>
  </si>
  <si>
    <t xml:space="preserve">продолжение </t>
  </si>
  <si>
    <t>Кредиторская (дебиторская) задолженность по строительству</t>
  </si>
  <si>
    <t>Уточненный план финансирования</t>
  </si>
  <si>
    <t xml:space="preserve">Фактические затраты по строительству (реконструкции) </t>
  </si>
  <si>
    <t>Остаток сметной стоимости в текущих ценах по состоянию на начало года</t>
  </si>
  <si>
    <t>единый  сельскохо-зяйственный налог</t>
  </si>
  <si>
    <t>План 1 полугодия</t>
  </si>
  <si>
    <t>Информация о финансировании ДОТАЦИЙ поселений по состоянию на 01.07.2008 год</t>
  </si>
  <si>
    <t>Информация о доходах от предпринимательской деятельности и иной приносящей доход деятельности и их использовании по состоянию на 01.07.2008 г.</t>
  </si>
  <si>
    <t>единый  налог на вмененный доход</t>
  </si>
  <si>
    <t>Кредиторская (дебиторская) задолженность по капитальному ремонту</t>
  </si>
  <si>
    <t xml:space="preserve">Уточненный план финансирования </t>
  </si>
  <si>
    <t>Итого по поселениям</t>
  </si>
  <si>
    <t>Процент исполнения к годовому плану</t>
  </si>
  <si>
    <t>Сметная стоимость работ по договору</t>
  </si>
  <si>
    <t xml:space="preserve"> Бершетское</t>
  </si>
  <si>
    <t xml:space="preserve"> Гамовское</t>
  </si>
  <si>
    <t xml:space="preserve"> Двуреченское</t>
  </si>
  <si>
    <t xml:space="preserve"> Заболотское</t>
  </si>
  <si>
    <t xml:space="preserve"> Кондратовское</t>
  </si>
  <si>
    <t xml:space="preserve"> Кояновское</t>
  </si>
  <si>
    <t xml:space="preserve"> Кукуштанское</t>
  </si>
  <si>
    <t xml:space="preserve"> Култаевское</t>
  </si>
  <si>
    <t xml:space="preserve"> Курашимское</t>
  </si>
  <si>
    <t xml:space="preserve"> Лобановское</t>
  </si>
  <si>
    <t>Лядовское</t>
  </si>
  <si>
    <t xml:space="preserve"> Мостовское</t>
  </si>
  <si>
    <t xml:space="preserve"> Мулянское</t>
  </si>
  <si>
    <t xml:space="preserve"> Нижнемуллинское</t>
  </si>
  <si>
    <t xml:space="preserve"> Пальниковское</t>
  </si>
  <si>
    <t xml:space="preserve"> Платошинское</t>
  </si>
  <si>
    <t xml:space="preserve"> Рождественское</t>
  </si>
  <si>
    <t xml:space="preserve"> Савинское</t>
  </si>
  <si>
    <t xml:space="preserve"> Соколовское</t>
  </si>
  <si>
    <t xml:space="preserve"> Усть-Качкинское</t>
  </si>
  <si>
    <t xml:space="preserve"> Фроловское</t>
  </si>
  <si>
    <t xml:space="preserve"> Хохловское</t>
  </si>
  <si>
    <t>Юговское</t>
  </si>
  <si>
    <t>Сылвенское</t>
  </si>
  <si>
    <t xml:space="preserve"> Юго-Камское</t>
  </si>
  <si>
    <t>Централизованные кредиты</t>
  </si>
  <si>
    <t>Договоры о предоставлении муниципальных гарантий</t>
  </si>
  <si>
    <t>Т.Н.Гладких</t>
  </si>
  <si>
    <t>0100 Общегосударственные вопросы</t>
  </si>
  <si>
    <t>Администрация</t>
  </si>
  <si>
    <t>0111</t>
  </si>
  <si>
    <t>0406</t>
  </si>
  <si>
    <t>Водные ресурсы</t>
  </si>
  <si>
    <t>проценты, пени, штрафы</t>
  </si>
  <si>
    <t>Жилищное строительство</t>
  </si>
  <si>
    <t xml:space="preserve">Кредиты фермерам </t>
  </si>
  <si>
    <t>Сельский дом</t>
  </si>
  <si>
    <t>Бюджетный кредит</t>
  </si>
  <si>
    <t>Сумма остатка средств</t>
  </si>
  <si>
    <t>средства краевого и федерального бюджета на реализацию федеральных и краевых нормативно правовых актов</t>
  </si>
  <si>
    <t>доходы от предпринимательской и иной приносящей доход деятельности</t>
  </si>
  <si>
    <t>Пермский муниципальный район</t>
  </si>
  <si>
    <t>Бершетское сельское поселение</t>
  </si>
  <si>
    <t>Гамовское сельское поселение</t>
  </si>
  <si>
    <t>Двуреченское сельское поселение</t>
  </si>
  <si>
    <t>Заболотское сельское поселение</t>
  </si>
  <si>
    <t>Кондратовское сельское поселение</t>
  </si>
  <si>
    <t>Кояновское сельское поселение</t>
  </si>
  <si>
    <t>Кукуштанское сельское поселение</t>
  </si>
  <si>
    <t>Информация о предоставлении и погашении бюджетных кредитов, выдаваемых за счет средств районного бюджета, по состоянию на 01 июля 2008 года</t>
  </si>
  <si>
    <t>Култаевское сельское поселение</t>
  </si>
  <si>
    <t>Курашимское сельское поселение</t>
  </si>
  <si>
    <t>Лобановское сельское поселение</t>
  </si>
  <si>
    <t>Лядовское сельское поселение</t>
  </si>
  <si>
    <t>Мостовское сельское поселение</t>
  </si>
  <si>
    <t>Мулянское сельское поселение</t>
  </si>
  <si>
    <t>Нижнемуллинское сельское поселение</t>
  </si>
  <si>
    <t>Пальниковское сельское поселение</t>
  </si>
  <si>
    <t>Платошинское сельское поселение</t>
  </si>
  <si>
    <t>Рождественское сельское поселение</t>
  </si>
  <si>
    <t>Савинское сельское поселение</t>
  </si>
  <si>
    <t>Соколовское сельское поселение</t>
  </si>
  <si>
    <t>Сылвенское сельское поселение</t>
  </si>
  <si>
    <t>Усть-Качкинское сельское поселение</t>
  </si>
  <si>
    <t>Фроловское сельское поселение</t>
  </si>
  <si>
    <t>Хохловское сельское поселение</t>
  </si>
  <si>
    <t>Ю.Камское городское поселение</t>
  </si>
  <si>
    <t>Юговское сельское поселение</t>
  </si>
  <si>
    <t>Остаток на начало отчетного периода (01.01.2008 г.)</t>
  </si>
  <si>
    <t xml:space="preserve">Доходы за период с начало года </t>
  </si>
  <si>
    <t>Расход за период с начало года</t>
  </si>
  <si>
    <t>Администрация Пермского муниципального района</t>
  </si>
  <si>
    <t>Комитет имущественных отношений</t>
  </si>
  <si>
    <t>МДОУ Бершетский детский сад</t>
  </si>
  <si>
    <t>МДОУ Ванюковский детский сад</t>
  </si>
  <si>
    <t>МДОУ Гамовский детский сад общеразвивающего вида</t>
  </si>
  <si>
    <t>МДОУ Двуреченский детский сад</t>
  </si>
  <si>
    <t>МДОУ Кондратовский детский сад</t>
  </si>
  <si>
    <t>МДОУ Кукуштанский детский сад "Тополек"</t>
  </si>
  <si>
    <t>МДОУ Култаевский д/с "Колокольчик"</t>
  </si>
  <si>
    <t>МДОУ Курашимский детский сад</t>
  </si>
  <si>
    <t>МДОУ Лобановский детский сад</t>
  </si>
  <si>
    <t>МДОУ Нижнемуллинский детский сад</t>
  </si>
  <si>
    <t>МДОУ Песьянковский детский сад "Солнышко"</t>
  </si>
  <si>
    <t>МДОУ Платошинский детский сад общеразвивающего вида</t>
  </si>
  <si>
    <t>МДОУ Сылвенский детский сад N 1"Журавлик"</t>
  </si>
  <si>
    <t>МДОУ Сылвенский детский сад N2</t>
  </si>
  <si>
    <t>МДОУ Юго-Камский детский сад N4</t>
  </si>
  <si>
    <t>МДОУ Юго-камский детский сад общеразвивающего вида N3</t>
  </si>
  <si>
    <t>МДОУ"Детский сад"Огонек"</t>
  </si>
  <si>
    <t>МОУ Бабкинская средняя общеобразовательная школа</t>
  </si>
  <si>
    <t>МОУ Байболовская основная общеобразовательная школа</t>
  </si>
  <si>
    <t>МОУ Баш-Култаевская средняя общеобразовательная школа</t>
  </si>
  <si>
    <t>МОУ Бершетская средняя общеобразовательная школа</t>
  </si>
  <si>
    <t>МОУ Гамовская средняя общеобразовательная школа</t>
  </si>
  <si>
    <t>МОУ ДОД "ДЮЦ "</t>
  </si>
  <si>
    <t>МОУ ДОД ДЮСШ "Викинг"</t>
  </si>
  <si>
    <t>МОУ ДОД Детская  школа искусств с. Н.Муллы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</si>
</sst>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#,##0.00_ ;\-#,##0.00\ "/>
    <numFmt numFmtId="187" formatCode="#,##0.000_ ;\-#,##0.000\ "/>
    <numFmt numFmtId="188" formatCode="#,##0_ ;\-#,##0\ "/>
    <numFmt numFmtId="189" formatCode="#,##0.000"/>
    <numFmt numFmtId="190" formatCode="_-* #,##0.000_р_._-;\-* #,##0.000_р_._-;_-* &quot;-&quot;???_р_._-;_-@_-"/>
    <numFmt numFmtId="191" formatCode="_-* #,##0.0000_р_._-;\-* #,##0.0000_р_._-;_-* &quot;-&quot;????_р_._-;_-@_-"/>
    <numFmt numFmtId="192" formatCode="#,##0.0_ ;\-#,##0.0\ "/>
  </numFmts>
  <fonts count="54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10"/>
      <color indexed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u val="single"/>
      <sz val="11"/>
      <name val="Times New Roman Cyr"/>
      <family val="0"/>
    </font>
    <font>
      <b/>
      <u val="single"/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i/>
      <sz val="11"/>
      <name val="Times New Roman Cyr"/>
      <family val="0"/>
    </font>
    <font>
      <b/>
      <sz val="9"/>
      <name val="Times New Roman Cyr"/>
      <family val="1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name val="Times New Roman"/>
      <family val="1"/>
    </font>
    <font>
      <i/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hair">
        <color indexed="8"/>
      </bottom>
    </border>
    <border>
      <left>
        <color indexed="63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" fontId="9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5" fillId="0" borderId="1" xfId="0" applyFont="1" applyBorder="1" applyAlignment="1">
      <alignment horizontal="center"/>
    </xf>
    <xf numFmtId="49" fontId="15" fillId="0" borderId="0" xfId="0" applyNumberFormat="1" applyFont="1" applyAlignment="1">
      <alignment vertical="top" wrapText="1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22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vertical="top" wrapText="1"/>
    </xf>
    <xf numFmtId="171" fontId="5" fillId="0" borderId="0" xfId="23" applyFont="1" applyAlignment="1">
      <alignment horizontal="center"/>
    </xf>
    <xf numFmtId="171" fontId="5" fillId="0" borderId="0" xfId="23" applyFont="1" applyAlignment="1">
      <alignment horizontal="center" vertical="center"/>
    </xf>
    <xf numFmtId="22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171" fontId="5" fillId="0" borderId="1" xfId="23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8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5" fillId="0" borderId="6" xfId="0" applyNumberFormat="1" applyFont="1" applyBorder="1" applyAlignment="1">
      <alignment horizontal="right" vertical="center" wrapText="1"/>
    </xf>
    <xf numFmtId="171" fontId="5" fillId="0" borderId="6" xfId="23" applyFont="1" applyBorder="1" applyAlignment="1">
      <alignment horizontal="center" vertical="center" wrapText="1"/>
    </xf>
    <xf numFmtId="43" fontId="5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73" fontId="15" fillId="0" borderId="1" xfId="0" applyNumberFormat="1" applyFont="1" applyBorder="1" applyAlignment="1">
      <alignment horizontal="center" vertical="center" wrapText="1"/>
    </xf>
    <xf numFmtId="173" fontId="15" fillId="0" borderId="1" xfId="0" applyNumberFormat="1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center" wrapText="1"/>
    </xf>
    <xf numFmtId="173" fontId="23" fillId="0" borderId="1" xfId="0" applyNumberFormat="1" applyFont="1" applyBorder="1" applyAlignment="1">
      <alignment horizontal="center" vertical="top" wrapText="1"/>
    </xf>
    <xf numFmtId="1" fontId="23" fillId="0" borderId="0" xfId="0" applyNumberFormat="1" applyFont="1" applyBorder="1" applyAlignment="1">
      <alignment vertical="top" wrapText="1"/>
    </xf>
    <xf numFmtId="1" fontId="14" fillId="0" borderId="0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173" fontId="5" fillId="0" borderId="1" xfId="0" applyNumberFormat="1" applyFont="1" applyBorder="1" applyAlignment="1">
      <alignment horizontal="center" vertical="center" wrapText="1"/>
    </xf>
    <xf numFmtId="173" fontId="14" fillId="0" borderId="1" xfId="0" applyNumberFormat="1" applyFont="1" applyBorder="1" applyAlignment="1">
      <alignment horizontal="center" vertical="top" wrapText="1"/>
    </xf>
    <xf numFmtId="173" fontId="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173" fontId="1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0" fontId="22" fillId="0" borderId="1" xfId="0" applyFont="1" applyBorder="1" applyAlignment="1">
      <alignment horizontal="left" vertical="top" wrapText="1"/>
    </xf>
    <xf numFmtId="173" fontId="5" fillId="0" borderId="1" xfId="0" applyNumberFormat="1" applyFont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justify" vertical="top" wrapText="1"/>
    </xf>
    <xf numFmtId="0" fontId="22" fillId="0" borderId="1" xfId="0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20" fillId="0" borderId="0" xfId="0" applyFont="1" applyAlignment="1">
      <alignment vertical="justify"/>
    </xf>
    <xf numFmtId="0" fontId="20" fillId="0" borderId="0" xfId="0" applyFont="1" applyAlignment="1">
      <alignment/>
    </xf>
    <xf numFmtId="173" fontId="20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justify"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justify" wrapText="1"/>
    </xf>
    <xf numFmtId="0" fontId="20" fillId="0" borderId="1" xfId="0" applyFont="1" applyBorder="1" applyAlignment="1">
      <alignment horizontal="center" vertical="justify" wrapText="1"/>
    </xf>
    <xf numFmtId="173" fontId="20" fillId="0" borderId="1" xfId="0" applyNumberFormat="1" applyFont="1" applyFill="1" applyBorder="1" applyAlignment="1">
      <alignment horizontal="center" vertical="justify" wrapText="1"/>
    </xf>
    <xf numFmtId="0" fontId="20" fillId="0" borderId="9" xfId="0" applyFont="1" applyBorder="1" applyAlignment="1">
      <alignment horizontal="center" vertical="justify" wrapText="1"/>
    </xf>
    <xf numFmtId="0" fontId="20" fillId="0" borderId="5" xfId="0" applyFont="1" applyBorder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1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6" fillId="0" borderId="1" xfId="0" applyFont="1" applyBorder="1" applyAlignment="1">
      <alignment horizontal="left" wrapText="1"/>
    </xf>
    <xf numFmtId="173" fontId="26" fillId="0" borderId="1" xfId="0" applyNumberFormat="1" applyFont="1" applyFill="1" applyBorder="1" applyAlignment="1">
      <alignment horizontal="center" wrapText="1"/>
    </xf>
    <xf numFmtId="173" fontId="26" fillId="0" borderId="9" xfId="0" applyNumberFormat="1" applyFont="1" applyBorder="1" applyAlignment="1">
      <alignment horizontal="center" wrapText="1"/>
    </xf>
    <xf numFmtId="173" fontId="26" fillId="0" borderId="1" xfId="0" applyNumberFormat="1" applyFont="1" applyBorder="1" applyAlignment="1">
      <alignment horizontal="center" wrapText="1"/>
    </xf>
    <xf numFmtId="173" fontId="26" fillId="0" borderId="5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173" fontId="20" fillId="0" borderId="1" xfId="0" applyNumberFormat="1" applyFont="1" applyFill="1" applyBorder="1" applyAlignment="1">
      <alignment horizontal="center" wrapText="1"/>
    </xf>
    <xf numFmtId="173" fontId="20" fillId="0" borderId="9" xfId="0" applyNumberFormat="1" applyFont="1" applyBorder="1" applyAlignment="1">
      <alignment horizontal="center" wrapText="1"/>
    </xf>
    <xf numFmtId="173" fontId="20" fillId="0" borderId="1" xfId="0" applyNumberFormat="1" applyFont="1" applyBorder="1" applyAlignment="1">
      <alignment horizontal="center" wrapText="1"/>
    </xf>
    <xf numFmtId="173" fontId="20" fillId="0" borderId="5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173" fontId="26" fillId="0" borderId="1" xfId="0" applyNumberFormat="1" applyFont="1" applyFill="1" applyBorder="1" applyAlignment="1">
      <alignment horizontal="center" wrapText="1"/>
    </xf>
    <xf numFmtId="173" fontId="20" fillId="0" borderId="1" xfId="0" applyNumberFormat="1" applyFont="1" applyFill="1" applyBorder="1" applyAlignment="1">
      <alignment horizontal="center" wrapText="1"/>
    </xf>
    <xf numFmtId="173" fontId="20" fillId="0" borderId="9" xfId="0" applyNumberFormat="1" applyFont="1" applyBorder="1" applyAlignment="1">
      <alignment horizontal="center" wrapText="1"/>
    </xf>
    <xf numFmtId="173" fontId="26" fillId="0" borderId="9" xfId="0" applyNumberFormat="1" applyFont="1" applyBorder="1" applyAlignment="1">
      <alignment horizontal="center" wrapText="1"/>
    </xf>
    <xf numFmtId="173" fontId="20" fillId="0" borderId="1" xfId="0" applyNumberFormat="1" applyFont="1" applyBorder="1" applyAlignment="1">
      <alignment horizontal="center" wrapText="1"/>
    </xf>
    <xf numFmtId="173" fontId="20" fillId="0" borderId="6" xfId="0" applyNumberFormat="1" applyFont="1" applyFill="1" applyBorder="1" applyAlignment="1">
      <alignment horizontal="center" wrapText="1"/>
    </xf>
    <xf numFmtId="173" fontId="26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2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6" fillId="0" borderId="1" xfId="0" applyFont="1" applyBorder="1" applyAlignment="1">
      <alignment wrapText="1"/>
    </xf>
    <xf numFmtId="173" fontId="26" fillId="0" borderId="5" xfId="0" applyNumberFormat="1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horizontal="center" vertical="justify" wrapText="1"/>
    </xf>
    <xf numFmtId="0" fontId="20" fillId="0" borderId="11" xfId="0" applyFont="1" applyBorder="1" applyAlignment="1">
      <alignment wrapText="1"/>
    </xf>
    <xf numFmtId="173" fontId="20" fillId="0" borderId="11" xfId="0" applyNumberFormat="1" applyFont="1" applyFill="1" applyBorder="1" applyAlignment="1">
      <alignment horizontal="center" wrapText="1"/>
    </xf>
    <xf numFmtId="173" fontId="20" fillId="0" borderId="12" xfId="0" applyNumberFormat="1" applyFont="1" applyBorder="1" applyAlignment="1">
      <alignment horizontal="center" wrapText="1"/>
    </xf>
    <xf numFmtId="173" fontId="20" fillId="0" borderId="11" xfId="0" applyNumberFormat="1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173" fontId="14" fillId="0" borderId="13" xfId="0" applyNumberFormat="1" applyFont="1" applyFill="1" applyBorder="1" applyAlignment="1">
      <alignment horizontal="center" wrapText="1"/>
    </xf>
    <xf numFmtId="173" fontId="14" fillId="0" borderId="7" xfId="0" applyNumberFormat="1" applyFont="1" applyFill="1" applyBorder="1" applyAlignment="1">
      <alignment horizontal="center" wrapText="1"/>
    </xf>
    <xf numFmtId="173" fontId="14" fillId="0" borderId="14" xfId="0" applyNumberFormat="1" applyFont="1" applyBorder="1" applyAlignment="1">
      <alignment horizontal="center" wrapText="1"/>
    </xf>
    <xf numFmtId="173" fontId="14" fillId="0" borderId="7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173" fontId="5" fillId="0" borderId="1" xfId="0" applyNumberFormat="1" applyFont="1" applyFill="1" applyBorder="1" applyAlignment="1">
      <alignment horizontal="center" wrapText="1"/>
    </xf>
    <xf numFmtId="173" fontId="20" fillId="0" borderId="5" xfId="0" applyNumberFormat="1" applyFont="1" applyBorder="1" applyAlignment="1">
      <alignment horizontal="center" wrapText="1"/>
    </xf>
    <xf numFmtId="173" fontId="20" fillId="0" borderId="11" xfId="0" applyNumberFormat="1" applyFont="1" applyFill="1" applyBorder="1" applyAlignment="1">
      <alignment horizontal="center" wrapText="1"/>
    </xf>
    <xf numFmtId="173" fontId="5" fillId="0" borderId="11" xfId="0" applyNumberFormat="1" applyFont="1" applyFill="1" applyBorder="1" applyAlignment="1">
      <alignment horizontal="center" wrapText="1"/>
    </xf>
    <xf numFmtId="173" fontId="20" fillId="0" borderId="12" xfId="0" applyNumberFormat="1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173" fontId="26" fillId="0" borderId="11" xfId="0" applyNumberFormat="1" applyFont="1" applyBorder="1" applyAlignment="1">
      <alignment horizontal="center" wrapText="1"/>
    </xf>
    <xf numFmtId="173" fontId="26" fillId="0" borderId="12" xfId="0" applyNumberFormat="1" applyFont="1" applyBorder="1" applyAlignment="1">
      <alignment horizontal="center" wrapText="1"/>
    </xf>
    <xf numFmtId="0" fontId="20" fillId="0" borderId="0" xfId="0" applyFont="1" applyAlignment="1">
      <alignment vertical="justify" wrapText="1"/>
    </xf>
    <xf numFmtId="173" fontId="20" fillId="0" borderId="0" xfId="0" applyNumberFormat="1" applyFont="1" applyFill="1" applyAlignment="1">
      <alignment horizontal="center" wrapText="1"/>
    </xf>
    <xf numFmtId="0" fontId="15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173" fontId="16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22" fillId="0" borderId="3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top"/>
    </xf>
    <xf numFmtId="49" fontId="31" fillId="0" borderId="3" xfId="0" applyNumberFormat="1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top"/>
    </xf>
    <xf numFmtId="0" fontId="33" fillId="0" borderId="0" xfId="0" applyFont="1" applyAlignment="1">
      <alignment/>
    </xf>
    <xf numFmtId="49" fontId="31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4" fillId="0" borderId="3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/>
    </xf>
    <xf numFmtId="0" fontId="25" fillId="0" borderId="3" xfId="0" applyFont="1" applyFill="1" applyBorder="1" applyAlignment="1">
      <alignment horizontal="center" vertical="top"/>
    </xf>
    <xf numFmtId="49" fontId="14" fillId="0" borderId="3" xfId="0" applyNumberFormat="1" applyFont="1" applyBorder="1" applyAlignment="1">
      <alignment horizontal="left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right" wrapText="1"/>
    </xf>
    <xf numFmtId="0" fontId="14" fillId="0" borderId="7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/>
    </xf>
    <xf numFmtId="0" fontId="35" fillId="0" borderId="1" xfId="0" applyNumberFormat="1" applyFont="1" applyFill="1" applyBorder="1" applyAlignment="1">
      <alignment horizontal="right" wrapText="1"/>
    </xf>
    <xf numFmtId="0" fontId="26" fillId="0" borderId="1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left" wrapText="1"/>
    </xf>
    <xf numFmtId="171" fontId="26" fillId="0" borderId="1" xfId="23" applyFont="1" applyFill="1" applyBorder="1" applyAlignment="1">
      <alignment horizontal="center"/>
    </xf>
    <xf numFmtId="0" fontId="26" fillId="0" borderId="0" xfId="0" applyFont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left" wrapText="1"/>
    </xf>
    <xf numFmtId="0" fontId="36" fillId="0" borderId="1" xfId="0" applyFont="1" applyFill="1" applyBorder="1" applyAlignment="1">
      <alignment horizontal="left" vertical="top" wrapText="1"/>
    </xf>
    <xf numFmtId="183" fontId="3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6" xfId="0" applyFont="1" applyFill="1" applyBorder="1" applyAlignment="1">
      <alignment horizontal="left" vertical="center" wrapText="1"/>
    </xf>
    <xf numFmtId="183" fontId="2" fillId="0" borderId="6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left" vertical="center" wrapText="1"/>
    </xf>
    <xf numFmtId="49" fontId="15" fillId="0" borderId="1" xfId="19" applyNumberFormat="1" applyFont="1" applyFill="1" applyBorder="1" applyAlignment="1">
      <alignment horizontal="left" wrapText="1"/>
      <protection/>
    </xf>
    <xf numFmtId="0" fontId="16" fillId="0" borderId="1" xfId="0" applyFont="1" applyBorder="1" applyAlignment="1">
      <alignment vertical="top" wrapText="1"/>
    </xf>
    <xf numFmtId="183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183" fontId="16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85" fontId="16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185" fontId="16" fillId="0" borderId="19" xfId="0" applyNumberFormat="1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185" fontId="15" fillId="0" borderId="19" xfId="0" applyNumberFormat="1" applyFont="1" applyBorder="1" applyAlignment="1">
      <alignment vertical="center" wrapText="1"/>
    </xf>
    <xf numFmtId="185" fontId="15" fillId="0" borderId="1" xfId="0" applyNumberFormat="1" applyFont="1" applyBorder="1" applyAlignment="1">
      <alignment vertical="center" wrapText="1"/>
    </xf>
    <xf numFmtId="49" fontId="39" fillId="0" borderId="7" xfId="0" applyNumberFormat="1" applyFont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top" wrapText="1"/>
    </xf>
    <xf numFmtId="185" fontId="1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42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20" applyFont="1" applyAlignment="1">
      <alignment horizontal="center"/>
      <protection/>
    </xf>
    <xf numFmtId="0" fontId="15" fillId="0" borderId="0" xfId="20" applyFont="1" applyAlignment="1">
      <alignment/>
      <protection/>
    </xf>
    <xf numFmtId="0" fontId="15" fillId="0" borderId="0" xfId="20" applyFont="1">
      <alignment/>
      <protection/>
    </xf>
    <xf numFmtId="0" fontId="5" fillId="0" borderId="0" xfId="20" applyFont="1" applyFill="1" applyAlignment="1">
      <alignment horizontal="center" wrapText="1"/>
      <protection/>
    </xf>
    <xf numFmtId="0" fontId="4" fillId="0" borderId="0" xfId="20" applyFont="1" applyFill="1" applyAlignment="1">
      <alignment wrapText="1"/>
      <protection/>
    </xf>
    <xf numFmtId="0" fontId="10" fillId="0" borderId="0" xfId="20" applyFont="1">
      <alignment/>
      <protection/>
    </xf>
    <xf numFmtId="0" fontId="5" fillId="0" borderId="0" xfId="20" applyFont="1" applyFill="1" applyAlignment="1">
      <alignment horizontal="center"/>
      <protection/>
    </xf>
    <xf numFmtId="0" fontId="6" fillId="0" borderId="1" xfId="20" applyFont="1" applyFill="1" applyBorder="1" applyAlignment="1">
      <alignment horizontal="center" vertical="justify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0" xfId="20" applyFont="1" applyFill="1" applyAlignment="1">
      <alignment vertical="justify"/>
      <protection/>
    </xf>
    <xf numFmtId="0" fontId="6" fillId="0" borderId="1" xfId="20" applyFont="1" applyFill="1" applyBorder="1" applyAlignment="1">
      <alignment horizontal="center" vertical="justify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justify" wrapText="1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1" xfId="20" applyFont="1" applyFill="1" applyBorder="1">
      <alignment/>
      <protection/>
    </xf>
    <xf numFmtId="43" fontId="5" fillId="0" borderId="1" xfId="20" applyNumberFormat="1" applyFont="1" applyBorder="1" applyAlignment="1">
      <alignment horizontal="center"/>
      <protection/>
    </xf>
    <xf numFmtId="41" fontId="5" fillId="0" borderId="1" xfId="20" applyNumberFormat="1" applyFont="1" applyBorder="1" applyAlignment="1">
      <alignment horizontal="center" wrapText="1"/>
      <protection/>
    </xf>
    <xf numFmtId="41" fontId="5" fillId="0" borderId="1" xfId="20" applyNumberFormat="1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43" fontId="14" fillId="0" borderId="1" xfId="20" applyNumberFormat="1" applyFont="1" applyBorder="1" applyAlignment="1">
      <alignment horizontal="center"/>
      <protection/>
    </xf>
    <xf numFmtId="2" fontId="5" fillId="0" borderId="1" xfId="20" applyNumberFormat="1" applyFont="1" applyBorder="1" applyAlignment="1">
      <alignment horizontal="center"/>
      <protection/>
    </xf>
    <xf numFmtId="41" fontId="5" fillId="2" borderId="1" xfId="20" applyNumberFormat="1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3" fontId="5" fillId="0" borderId="1" xfId="20" applyNumberFormat="1" applyFont="1" applyFill="1" applyBorder="1" applyAlignment="1">
      <alignment horizontal="center"/>
      <protection/>
    </xf>
    <xf numFmtId="0" fontId="10" fillId="0" borderId="0" xfId="20" applyFont="1" applyFill="1">
      <alignment/>
      <protection/>
    </xf>
    <xf numFmtId="43" fontId="14" fillId="2" borderId="1" xfId="20" applyNumberFormat="1" applyFont="1" applyFill="1" applyBorder="1" applyAlignment="1">
      <alignment horizontal="center"/>
      <protection/>
    </xf>
    <xf numFmtId="186" fontId="5" fillId="0" borderId="1" xfId="20" applyNumberFormat="1" applyFont="1" applyBorder="1" applyAlignment="1">
      <alignment horizontal="center"/>
      <protection/>
    </xf>
    <xf numFmtId="0" fontId="5" fillId="2" borderId="1" xfId="20" applyFont="1" applyFill="1" applyBorder="1" applyAlignment="1">
      <alignment horizontal="center"/>
      <protection/>
    </xf>
    <xf numFmtId="187" fontId="5" fillId="0" borderId="1" xfId="20" applyNumberFormat="1" applyFont="1" applyBorder="1" applyAlignment="1">
      <alignment horizontal="center"/>
      <protection/>
    </xf>
    <xf numFmtId="0" fontId="14" fillId="0" borderId="1" xfId="20" applyFont="1" applyFill="1" applyBorder="1" applyAlignment="1">
      <alignment horizontal="center"/>
      <protection/>
    </xf>
    <xf numFmtId="0" fontId="14" fillId="0" borderId="1" xfId="20" applyFont="1" applyFill="1" applyBorder="1">
      <alignment/>
      <protection/>
    </xf>
    <xf numFmtId="182" fontId="14" fillId="2" borderId="1" xfId="20" applyNumberFormat="1" applyFont="1" applyFill="1" applyBorder="1" applyAlignment="1">
      <alignment horizontal="center"/>
      <protection/>
    </xf>
    <xf numFmtId="0" fontId="14" fillId="2" borderId="1" xfId="20" applyFont="1" applyFill="1" applyBorder="1" applyAlignment="1">
      <alignment horizontal="center"/>
      <protection/>
    </xf>
    <xf numFmtId="186" fontId="14" fillId="2" borderId="1" xfId="20" applyNumberFormat="1" applyFont="1" applyFill="1" applyBorder="1" applyAlignment="1">
      <alignment horizontal="center"/>
      <protection/>
    </xf>
    <xf numFmtId="0" fontId="14" fillId="0" borderId="1" xfId="20" applyFont="1" applyBorder="1" applyAlignment="1">
      <alignment horizontal="center"/>
      <protection/>
    </xf>
    <xf numFmtId="188" fontId="14" fillId="0" borderId="1" xfId="20" applyNumberFormat="1" applyFont="1" applyBorder="1" applyAlignment="1">
      <alignment horizontal="center"/>
      <protection/>
    </xf>
    <xf numFmtId="189" fontId="14" fillId="0" borderId="1" xfId="20" applyNumberFormat="1" applyFont="1" applyBorder="1" applyAlignment="1">
      <alignment horizontal="center"/>
      <protection/>
    </xf>
    <xf numFmtId="0" fontId="14" fillId="0" borderId="0" xfId="20" applyFont="1">
      <alignment/>
      <protection/>
    </xf>
    <xf numFmtId="0" fontId="5" fillId="0" borderId="0" xfId="20" applyFont="1" applyFill="1">
      <alignment/>
      <protection/>
    </xf>
    <xf numFmtId="0" fontId="10" fillId="0" borderId="0" xfId="20" applyFont="1" applyAlignment="1">
      <alignment horizontal="center"/>
      <protection/>
    </xf>
    <xf numFmtId="0" fontId="15" fillId="0" borderId="0" xfId="20" applyFont="1" applyFill="1">
      <alignment/>
      <protection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173" fontId="5" fillId="0" borderId="1" xfId="0" applyNumberFormat="1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right" vertical="top" wrapText="1"/>
    </xf>
    <xf numFmtId="0" fontId="46" fillId="0" borderId="1" xfId="0" applyFont="1" applyBorder="1" applyAlignment="1">
      <alignment horizontal="left" vertical="top" wrapText="1"/>
    </xf>
    <xf numFmtId="183" fontId="14" fillId="0" borderId="1" xfId="0" applyNumberFormat="1" applyFont="1" applyBorder="1" applyAlignment="1">
      <alignment horizontal="right" vertical="top"/>
    </xf>
    <xf numFmtId="0" fontId="25" fillId="0" borderId="1" xfId="0" applyFont="1" applyBorder="1" applyAlignment="1">
      <alignment horizontal="justify" vertical="top" wrapText="1"/>
    </xf>
    <xf numFmtId="49" fontId="22" fillId="0" borderId="1" xfId="0" applyNumberFormat="1" applyFont="1" applyBorder="1" applyAlignment="1">
      <alignment horizontal="right" vertical="top" wrapText="1"/>
    </xf>
    <xf numFmtId="183" fontId="5" fillId="0" borderId="19" xfId="0" applyNumberFormat="1" applyFont="1" applyBorder="1" applyAlignment="1">
      <alignment horizontal="right" vertical="top"/>
    </xf>
    <xf numFmtId="183" fontId="5" fillId="0" borderId="1" xfId="0" applyNumberFormat="1" applyFont="1" applyBorder="1" applyAlignment="1">
      <alignment horizontal="right" vertical="top"/>
    </xf>
    <xf numFmtId="49" fontId="22" fillId="0" borderId="6" xfId="0" applyNumberFormat="1" applyFont="1" applyBorder="1" applyAlignment="1">
      <alignment horizontal="righ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justify"/>
    </xf>
    <xf numFmtId="49" fontId="25" fillId="0" borderId="1" xfId="0" applyNumberFormat="1" applyFont="1" applyBorder="1" applyAlignment="1">
      <alignment horizontal="right" vertical="top" wrapText="1"/>
    </xf>
    <xf numFmtId="0" fontId="4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justify" vertical="top" wrapText="1"/>
    </xf>
    <xf numFmtId="49" fontId="22" fillId="0" borderId="1" xfId="0" applyNumberFormat="1" applyFont="1" applyBorder="1" applyAlignment="1">
      <alignment horizontal="right" vertical="top" wrapText="1"/>
    </xf>
    <xf numFmtId="0" fontId="47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justify" vertical="top" wrapText="1"/>
    </xf>
    <xf numFmtId="183" fontId="5" fillId="0" borderId="19" xfId="0" applyNumberFormat="1" applyFont="1" applyBorder="1" applyAlignment="1">
      <alignment horizontal="right" vertical="top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173" fontId="5" fillId="0" borderId="0" xfId="0" applyNumberFormat="1" applyFont="1" applyBorder="1" applyAlignment="1">
      <alignment/>
    </xf>
    <xf numFmtId="0" fontId="14" fillId="0" borderId="20" xfId="0" applyFont="1" applyBorder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73" fontId="14" fillId="0" borderId="16" xfId="0" applyNumberFormat="1" applyFont="1" applyBorder="1" applyAlignment="1">
      <alignment horizontal="center"/>
    </xf>
    <xf numFmtId="173" fontId="14" fillId="0" borderId="16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173" fontId="5" fillId="0" borderId="16" xfId="0" applyNumberFormat="1" applyFont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/>
    </xf>
    <xf numFmtId="0" fontId="24" fillId="0" borderId="7" xfId="0" applyFont="1" applyBorder="1" applyAlignment="1">
      <alignment horizontal="left" vertical="center" wrapText="1"/>
    </xf>
    <xf numFmtId="173" fontId="5" fillId="0" borderId="16" xfId="0" applyNumberFormat="1" applyFont="1" applyBorder="1" applyAlignment="1">
      <alignment horizontal="center"/>
    </xf>
    <xf numFmtId="173" fontId="14" fillId="0" borderId="16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/>
    </xf>
    <xf numFmtId="173" fontId="14" fillId="0" borderId="19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49" fontId="20" fillId="0" borderId="7" xfId="0" applyNumberFormat="1" applyFont="1" applyBorder="1" applyAlignment="1">
      <alignment horizontal="center" vertical="top" wrapText="1"/>
    </xf>
    <xf numFmtId="49" fontId="26" fillId="0" borderId="7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49" fontId="26" fillId="0" borderId="7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" fontId="14" fillId="0" borderId="16" xfId="0" applyNumberFormat="1" applyFont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wrapText="1"/>
    </xf>
    <xf numFmtId="173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0" fillId="0" borderId="7" xfId="0" applyFont="1" applyBorder="1" applyAlignment="1">
      <alignment/>
    </xf>
    <xf numFmtId="0" fontId="5" fillId="0" borderId="20" xfId="0" applyFont="1" applyBorder="1" applyAlignment="1">
      <alignment horizontal="left" wrapText="1"/>
    </xf>
    <xf numFmtId="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20" fillId="0" borderId="7" xfId="0" applyFont="1" applyBorder="1" applyAlignment="1">
      <alignment vertical="center"/>
    </xf>
    <xf numFmtId="0" fontId="0" fillId="0" borderId="0" xfId="0" applyFont="1" applyAlignment="1">
      <alignment/>
    </xf>
    <xf numFmtId="4" fontId="3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5" fillId="0" borderId="3" xfId="0" applyNumberFormat="1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17" fillId="2" borderId="0" xfId="0" applyFont="1" applyFill="1" applyAlignment="1">
      <alignment/>
    </xf>
    <xf numFmtId="0" fontId="41" fillId="2" borderId="0" xfId="0" applyFont="1" applyFill="1" applyAlignment="1">
      <alignment/>
    </xf>
    <xf numFmtId="173" fontId="0" fillId="2" borderId="0" xfId="0" applyNumberFormat="1" applyFill="1" applyAlignment="1">
      <alignment/>
    </xf>
    <xf numFmtId="173" fontId="5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5" fillId="0" borderId="1" xfId="0" applyFont="1" applyBorder="1" applyAlignment="1">
      <alignment horizontal="center" wrapText="1"/>
    </xf>
    <xf numFmtId="173" fontId="20" fillId="0" borderId="1" xfId="0" applyNumberFormat="1" applyFont="1" applyBorder="1" applyAlignment="1">
      <alignment wrapText="1"/>
    </xf>
    <xf numFmtId="173" fontId="26" fillId="0" borderId="1" xfId="0" applyNumberFormat="1" applyFont="1" applyBorder="1" applyAlignment="1">
      <alignment wrapText="1"/>
    </xf>
    <xf numFmtId="173" fontId="26" fillId="0" borderId="8" xfId="0" applyNumberFormat="1" applyFont="1" applyBorder="1" applyAlignment="1">
      <alignment horizontal="center" wrapText="1"/>
    </xf>
    <xf numFmtId="173" fontId="20" fillId="0" borderId="8" xfId="0" applyNumberFormat="1" applyFont="1" applyBorder="1" applyAlignment="1">
      <alignment horizontal="center" wrapText="1"/>
    </xf>
    <xf numFmtId="173" fontId="26" fillId="0" borderId="19" xfId="0" applyNumberFormat="1" applyFont="1" applyBorder="1" applyAlignment="1">
      <alignment wrapText="1"/>
    </xf>
    <xf numFmtId="173" fontId="26" fillId="0" borderId="1" xfId="0" applyNumberFormat="1" applyFont="1" applyBorder="1" applyAlignment="1">
      <alignment wrapText="1"/>
    </xf>
    <xf numFmtId="173" fontId="20" fillId="0" borderId="19" xfId="0" applyNumberFormat="1" applyFont="1" applyBorder="1" applyAlignment="1">
      <alignment wrapText="1"/>
    </xf>
    <xf numFmtId="173" fontId="20" fillId="0" borderId="5" xfId="0" applyNumberFormat="1" applyFont="1" applyBorder="1" applyAlignment="1">
      <alignment wrapText="1"/>
    </xf>
    <xf numFmtId="173" fontId="26" fillId="0" borderId="19" xfId="0" applyNumberFormat="1" applyFont="1" applyBorder="1" applyAlignment="1">
      <alignment wrapText="1"/>
    </xf>
    <xf numFmtId="173" fontId="20" fillId="0" borderId="8" xfId="0" applyNumberFormat="1" applyFont="1" applyBorder="1" applyAlignment="1">
      <alignment wrapText="1"/>
    </xf>
    <xf numFmtId="173" fontId="20" fillId="0" borderId="21" xfId="0" applyNumberFormat="1" applyFont="1" applyBorder="1" applyAlignment="1">
      <alignment wrapText="1"/>
    </xf>
    <xf numFmtId="173" fontId="20" fillId="0" borderId="11" xfId="0" applyNumberFormat="1" applyFont="1" applyBorder="1" applyAlignment="1">
      <alignment wrapText="1"/>
    </xf>
    <xf numFmtId="173" fontId="14" fillId="0" borderId="16" xfId="0" applyNumberFormat="1" applyFont="1" applyBorder="1" applyAlignment="1">
      <alignment wrapText="1"/>
    </xf>
    <xf numFmtId="173" fontId="14" fillId="0" borderId="7" xfId="0" applyNumberFormat="1" applyFont="1" applyBorder="1" applyAlignment="1">
      <alignment wrapText="1"/>
    </xf>
    <xf numFmtId="173" fontId="20" fillId="0" borderId="8" xfId="0" applyNumberFormat="1" applyFont="1" applyBorder="1" applyAlignment="1">
      <alignment wrapText="1"/>
    </xf>
    <xf numFmtId="173" fontId="20" fillId="0" borderId="6" xfId="0" applyNumberFormat="1" applyFont="1" applyBorder="1" applyAlignment="1">
      <alignment wrapText="1"/>
    </xf>
    <xf numFmtId="173" fontId="5" fillId="0" borderId="1" xfId="0" applyNumberFormat="1" applyFont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left" wrapText="1"/>
    </xf>
    <xf numFmtId="4" fontId="14" fillId="0" borderId="22" xfId="0" applyNumberFormat="1" applyFont="1" applyBorder="1" applyAlignment="1">
      <alignment horizontal="right"/>
    </xf>
    <xf numFmtId="171" fontId="14" fillId="0" borderId="22" xfId="23" applyFont="1" applyBorder="1" applyAlignment="1">
      <alignment horizontal="center" vertical="center" wrapText="1"/>
    </xf>
    <xf numFmtId="41" fontId="14" fillId="2" borderId="1" xfId="20" applyNumberFormat="1" applyFont="1" applyFill="1" applyBorder="1" applyAlignment="1">
      <alignment horizontal="center"/>
      <protection/>
    </xf>
    <xf numFmtId="41" fontId="14" fillId="0" borderId="1" xfId="20" applyNumberFormat="1" applyFont="1" applyBorder="1" applyAlignment="1">
      <alignment horizontal="center"/>
      <protection/>
    </xf>
    <xf numFmtId="43" fontId="5" fillId="0" borderId="1" xfId="20" applyNumberFormat="1" applyFont="1" applyBorder="1" applyAlignment="1">
      <alignment horizontal="right"/>
      <protection/>
    </xf>
    <xf numFmtId="185" fontId="14" fillId="2" borderId="1" xfId="20" applyNumberFormat="1" applyFont="1" applyFill="1" applyBorder="1" applyAlignment="1">
      <alignment horizontal="center"/>
      <protection/>
    </xf>
    <xf numFmtId="188" fontId="5" fillId="0" borderId="1" xfId="20" applyNumberFormat="1" applyFont="1" applyBorder="1" applyAlignment="1">
      <alignment horizontal="center"/>
      <protection/>
    </xf>
    <xf numFmtId="186" fontId="14" fillId="0" borderId="1" xfId="20" applyNumberFormat="1" applyFont="1" applyBorder="1" applyAlignment="1">
      <alignment horizontal="center"/>
      <protection/>
    </xf>
    <xf numFmtId="2" fontId="14" fillId="2" borderId="1" xfId="20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183" fontId="16" fillId="0" borderId="1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wrapText="1"/>
    </xf>
    <xf numFmtId="1" fontId="20" fillId="0" borderId="5" xfId="0" applyNumberFormat="1" applyFont="1" applyBorder="1" applyAlignment="1">
      <alignment horizontal="center" wrapText="1"/>
    </xf>
    <xf numFmtId="0" fontId="34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 vertical="center"/>
    </xf>
    <xf numFmtId="2" fontId="4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/>
    </xf>
    <xf numFmtId="185" fontId="10" fillId="0" borderId="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84" fontId="5" fillId="0" borderId="0" xfId="23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171" fontId="20" fillId="0" borderId="1" xfId="23" applyFont="1" applyFill="1" applyBorder="1" applyAlignment="1">
      <alignment horizontal="center" wrapText="1"/>
    </xf>
    <xf numFmtId="171" fontId="20" fillId="0" borderId="1" xfId="23" applyFont="1" applyFill="1" applyBorder="1" applyAlignment="1">
      <alignment horizontal="center"/>
    </xf>
    <xf numFmtId="171" fontId="20" fillId="2" borderId="1" xfId="23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 vertical="center" wrapText="1"/>
    </xf>
    <xf numFmtId="171" fontId="26" fillId="0" borderId="1" xfId="23" applyFont="1" applyBorder="1" applyAlignment="1">
      <alignment horizontal="center" vertical="center" wrapText="1"/>
    </xf>
    <xf numFmtId="0" fontId="43" fillId="0" borderId="7" xfId="0" applyFont="1" applyBorder="1" applyAlignment="1">
      <alignment horizontal="left" vertical="center" wrapText="1"/>
    </xf>
    <xf numFmtId="171" fontId="49" fillId="0" borderId="1" xfId="23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center" wrapText="1"/>
    </xf>
    <xf numFmtId="171" fontId="20" fillId="0" borderId="1" xfId="23" applyFont="1" applyFill="1" applyBorder="1" applyAlignment="1">
      <alignment horizontal="center" wrapText="1"/>
    </xf>
    <xf numFmtId="171" fontId="20" fillId="0" borderId="1" xfId="23" applyFont="1" applyFill="1" applyBorder="1" applyAlignment="1">
      <alignment horizontal="center"/>
    </xf>
    <xf numFmtId="0" fontId="35" fillId="0" borderId="1" xfId="0" applyNumberFormat="1" applyFont="1" applyFill="1" applyBorder="1" applyAlignment="1">
      <alignment horizontal="center" wrapText="1"/>
    </xf>
    <xf numFmtId="171" fontId="49" fillId="0" borderId="1" xfId="23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49" fontId="26" fillId="0" borderId="1" xfId="0" applyNumberFormat="1" applyFont="1" applyBorder="1" applyAlignment="1">
      <alignment horizontal="center"/>
    </xf>
    <xf numFmtId="0" fontId="26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171" fontId="20" fillId="0" borderId="1" xfId="23" applyFont="1" applyFill="1" applyBorder="1" applyAlignment="1">
      <alignment wrapText="1"/>
    </xf>
    <xf numFmtId="49" fontId="20" fillId="0" borderId="1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 wrapText="1"/>
    </xf>
    <xf numFmtId="41" fontId="9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/>
    </xf>
    <xf numFmtId="18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183" fontId="4" fillId="0" borderId="1" xfId="0" applyNumberFormat="1" applyFont="1" applyBorder="1" applyAlignment="1">
      <alignment horizontal="center"/>
    </xf>
    <xf numFmtId="183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center" wrapText="1"/>
    </xf>
    <xf numFmtId="49" fontId="23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/>
    </xf>
    <xf numFmtId="183" fontId="14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3" fontId="5" fillId="0" borderId="1" xfId="0" applyNumberFormat="1" applyFont="1" applyBorder="1" applyAlignment="1">
      <alignment/>
    </xf>
    <xf numFmtId="49" fontId="23" fillId="0" borderId="1" xfId="0" applyNumberFormat="1" applyFont="1" applyBorder="1" applyAlignment="1">
      <alignment horizontal="justify" vertical="center" wrapText="1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wrapText="1"/>
    </xf>
    <xf numFmtId="4" fontId="24" fillId="0" borderId="3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/>
    </xf>
    <xf numFmtId="43" fontId="11" fillId="0" borderId="3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4" fontId="24" fillId="3" borderId="3" xfId="0" applyNumberFormat="1" applyFont="1" applyFill="1" applyBorder="1" applyAlignment="1">
      <alignment horizontal="center" vertical="center"/>
    </xf>
    <xf numFmtId="43" fontId="24" fillId="0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0" fillId="0" borderId="3" xfId="18" applyFont="1" applyBorder="1" applyAlignment="1">
      <alignment wrapText="1"/>
      <protection/>
    </xf>
    <xf numFmtId="0" fontId="24" fillId="0" borderId="3" xfId="0" applyFont="1" applyFill="1" applyBorder="1" applyAlignment="1">
      <alignment horizontal="center" vertical="top"/>
    </xf>
    <xf numFmtId="49" fontId="20" fillId="2" borderId="1" xfId="0" applyNumberFormat="1" applyFont="1" applyFill="1" applyBorder="1" applyAlignment="1">
      <alignment horizontal="left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top"/>
    </xf>
    <xf numFmtId="0" fontId="20" fillId="0" borderId="3" xfId="18" applyFont="1" applyBorder="1" applyAlignment="1">
      <alignment horizontal="left" vertical="center" wrapText="1"/>
      <protection/>
    </xf>
    <xf numFmtId="49" fontId="20" fillId="2" borderId="7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top"/>
    </xf>
    <xf numFmtId="4" fontId="11" fillId="2" borderId="23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173" fontId="5" fillId="2" borderId="1" xfId="0" applyNumberFormat="1" applyFont="1" applyFill="1" applyBorder="1" applyAlignment="1">
      <alignment horizontal="center" vertical="center"/>
    </xf>
    <xf numFmtId="17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3" fontId="5" fillId="2" borderId="1" xfId="0" applyNumberFormat="1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 wrapText="1"/>
    </xf>
    <xf numFmtId="185" fontId="5" fillId="2" borderId="1" xfId="0" applyNumberFormat="1" applyFont="1" applyFill="1" applyBorder="1" applyAlignment="1">
      <alignment horizontal="center"/>
    </xf>
    <xf numFmtId="43" fontId="5" fillId="2" borderId="1" xfId="0" applyNumberFormat="1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43" fontId="5" fillId="2" borderId="19" xfId="0" applyNumberFormat="1" applyFont="1" applyFill="1" applyBorder="1" applyAlignment="1">
      <alignment horizontal="center"/>
    </xf>
    <xf numFmtId="185" fontId="5" fillId="2" borderId="1" xfId="0" applyNumberFormat="1" applyFont="1" applyFill="1" applyBorder="1" applyAlignment="1">
      <alignment horizontal="center" wrapText="1"/>
    </xf>
    <xf numFmtId="185" fontId="5" fillId="2" borderId="9" xfId="0" applyNumberFormat="1" applyFont="1" applyFill="1" applyBorder="1" applyAlignment="1">
      <alignment horizontal="center"/>
    </xf>
    <xf numFmtId="185" fontId="5" fillId="2" borderId="19" xfId="0" applyNumberFormat="1" applyFont="1" applyFill="1" applyBorder="1" applyAlignment="1">
      <alignment horizontal="center"/>
    </xf>
    <xf numFmtId="18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73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left" vertical="center" wrapText="1" indent="1"/>
    </xf>
    <xf numFmtId="2" fontId="22" fillId="0" borderId="3" xfId="0" applyNumberFormat="1" applyFont="1" applyFill="1" applyBorder="1" applyAlignment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22" fillId="0" borderId="3" xfId="0" applyNumberFormat="1" applyFont="1" applyFill="1" applyBorder="1" applyAlignment="1">
      <alignment horizontal="center" vertical="top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/>
    </xf>
    <xf numFmtId="4" fontId="15" fillId="0" borderId="0" xfId="0" applyNumberFormat="1" applyFont="1" applyAlignment="1">
      <alignment/>
    </xf>
    <xf numFmtId="2" fontId="22" fillId="0" borderId="3" xfId="0" applyNumberFormat="1" applyFont="1" applyFill="1" applyBorder="1" applyAlignment="1">
      <alignment horizontal="center" vertical="center"/>
    </xf>
    <xf numFmtId="192" fontId="16" fillId="0" borderId="1" xfId="0" applyNumberFormat="1" applyFont="1" applyBorder="1" applyAlignment="1">
      <alignment vertical="top" wrapText="1"/>
    </xf>
    <xf numFmtId="192" fontId="16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84" fontId="20" fillId="0" borderId="1" xfId="23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4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right"/>
    </xf>
    <xf numFmtId="0" fontId="14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justify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26" fillId="0" borderId="27" xfId="0" applyFont="1" applyBorder="1" applyAlignment="1">
      <alignment horizontal="center" vertical="justify" wrapText="1"/>
    </xf>
    <xf numFmtId="0" fontId="26" fillId="0" borderId="28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vertical="justify" wrapText="1"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9" xfId="20" applyFont="1" applyFill="1" applyBorder="1" applyAlignment="1">
      <alignment horizontal="center" vertical="center" wrapText="1"/>
      <protection/>
    </xf>
    <xf numFmtId="0" fontId="43" fillId="0" borderId="9" xfId="20" applyFont="1" applyFill="1" applyBorder="1" applyAlignment="1">
      <alignment horizontal="center" vertical="center" wrapText="1"/>
      <protection/>
    </xf>
    <xf numFmtId="0" fontId="43" fillId="0" borderId="25" xfId="20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horizontal="center" wrapText="1"/>
      <protection/>
    </xf>
    <xf numFmtId="0" fontId="5" fillId="0" borderId="20" xfId="20" applyFont="1" applyFill="1" applyBorder="1" applyAlignment="1">
      <alignment horizontal="left"/>
      <protection/>
    </xf>
    <xf numFmtId="0" fontId="5" fillId="0" borderId="20" xfId="20" applyFont="1" applyFill="1" applyBorder="1" applyAlignment="1">
      <alignment horizontal="right"/>
      <protection/>
    </xf>
    <xf numFmtId="189" fontId="5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center" wrapText="1"/>
    </xf>
    <xf numFmtId="189" fontId="5" fillId="0" borderId="1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89" fontId="14" fillId="0" borderId="1" xfId="0" applyNumberFormat="1" applyFont="1" applyBorder="1" applyAlignment="1">
      <alignment horizontal="right" vertical="top"/>
    </xf>
    <xf numFmtId="189" fontId="5" fillId="0" borderId="1" xfId="0" applyNumberFormat="1" applyFont="1" applyBorder="1" applyAlignment="1">
      <alignment horizontal="right" vertical="top"/>
    </xf>
    <xf numFmtId="189" fontId="5" fillId="0" borderId="6" xfId="0" applyNumberFormat="1" applyFont="1" applyBorder="1" applyAlignment="1">
      <alignment horizontal="right" vertical="top"/>
    </xf>
    <xf numFmtId="189" fontId="14" fillId="0" borderId="1" xfId="0" applyNumberFormat="1" applyFont="1" applyBorder="1" applyAlignment="1">
      <alignment horizontal="right" vertical="top"/>
    </xf>
    <xf numFmtId="189" fontId="5" fillId="0" borderId="1" xfId="0" applyNumberFormat="1" applyFont="1" applyBorder="1" applyAlignment="1">
      <alignment horizontal="right" vertical="top"/>
    </xf>
    <xf numFmtId="189" fontId="5" fillId="0" borderId="19" xfId="0" applyNumberFormat="1" applyFont="1" applyBorder="1" applyAlignment="1">
      <alignment horizontal="right" vertical="top"/>
    </xf>
    <xf numFmtId="189" fontId="5" fillId="0" borderId="0" xfId="0" applyNumberFormat="1" applyFont="1" applyAlignment="1">
      <alignment horizontal="left"/>
    </xf>
    <xf numFmtId="0" fontId="20" fillId="0" borderId="28" xfId="0" applyFont="1" applyBorder="1" applyAlignment="1">
      <alignment horizontal="center" vertical="justify" wrapText="1"/>
    </xf>
    <xf numFmtId="0" fontId="20" fillId="0" borderId="10" xfId="0" applyFont="1" applyBorder="1" applyAlignment="1">
      <alignment horizontal="center" vertical="justify" wrapText="1"/>
    </xf>
    <xf numFmtId="0" fontId="20" fillId="0" borderId="27" xfId="0" applyFont="1" applyBorder="1" applyAlignment="1">
      <alignment horizontal="center" vertical="justify" wrapText="1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9" xfId="0" applyFont="1" applyBorder="1" applyAlignment="1">
      <alignment horizontal="center" vertical="justify" wrapText="1"/>
    </xf>
    <xf numFmtId="0" fontId="20" fillId="0" borderId="8" xfId="0" applyFont="1" applyBorder="1" applyAlignment="1">
      <alignment horizontal="center" vertical="justify" wrapText="1"/>
    </xf>
    <xf numFmtId="0" fontId="20" fillId="0" borderId="30" xfId="0" applyFont="1" applyBorder="1" applyAlignment="1">
      <alignment horizontal="center" vertical="justify" wrapText="1"/>
    </xf>
    <xf numFmtId="0" fontId="20" fillId="0" borderId="1" xfId="0" applyFont="1" applyBorder="1" applyAlignment="1">
      <alignment horizontal="center" vertical="justify" wrapText="1"/>
    </xf>
    <xf numFmtId="0" fontId="20" fillId="0" borderId="3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6" fillId="0" borderId="28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12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right" vertical="top"/>
    </xf>
    <xf numFmtId="0" fontId="19" fillId="0" borderId="36" xfId="0" applyFont="1" applyFill="1" applyBorder="1" applyAlignment="1">
      <alignment horizontal="right" vertical="top"/>
    </xf>
    <xf numFmtId="49" fontId="20" fillId="0" borderId="37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 wrapText="1"/>
    </xf>
    <xf numFmtId="0" fontId="15" fillId="0" borderId="0" xfId="0" applyFont="1" applyAlignment="1">
      <alignment/>
    </xf>
    <xf numFmtId="0" fontId="22" fillId="0" borderId="3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top" wrapText="1"/>
    </xf>
    <xf numFmtId="1" fontId="5" fillId="0" borderId="2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1" fontId="10" fillId="0" borderId="0" xfId="0" applyNumberFormat="1" applyFont="1" applyBorder="1" applyAlignment="1">
      <alignment horizontal="left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10" fillId="0" borderId="20" xfId="0" applyNumberFormat="1" applyFont="1" applyBorder="1" applyAlignment="1">
      <alignment horizontal="left" vertical="top" wrapText="1"/>
    </xf>
    <xf numFmtId="1" fontId="1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10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173" fontId="5" fillId="2" borderId="1" xfId="0" applyNumberFormat="1" applyFont="1" applyFill="1" applyBorder="1" applyAlignment="1">
      <alignment horizontal="center" vertical="center"/>
    </xf>
    <xf numFmtId="173" fontId="5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43" fontId="5" fillId="2" borderId="1" xfId="0" applyNumberFormat="1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43" fontId="5" fillId="2" borderId="19" xfId="0" applyNumberFormat="1" applyFont="1" applyFill="1" applyBorder="1" applyAlignment="1">
      <alignment horizontal="center"/>
    </xf>
    <xf numFmtId="185" fontId="5" fillId="2" borderId="9" xfId="0" applyNumberFormat="1" applyFont="1" applyFill="1" applyBorder="1" applyAlignment="1">
      <alignment horizontal="center"/>
    </xf>
    <xf numFmtId="185" fontId="5" fillId="2" borderId="1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73" fontId="5" fillId="2" borderId="9" xfId="0" applyNumberFormat="1" applyFont="1" applyFill="1" applyBorder="1" applyAlignment="1">
      <alignment horizontal="center"/>
    </xf>
    <xf numFmtId="173" fontId="5" fillId="2" borderId="19" xfId="0" applyNumberFormat="1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43" fontId="5" fillId="2" borderId="19" xfId="0" applyNumberFormat="1" applyFont="1" applyFill="1" applyBorder="1" applyAlignment="1">
      <alignment horizontal="center"/>
    </xf>
    <xf numFmtId="173" fontId="5" fillId="2" borderId="9" xfId="0" applyNumberFormat="1" applyFont="1" applyFill="1" applyBorder="1" applyAlignment="1">
      <alignment horizontal="center"/>
    </xf>
    <xf numFmtId="173" fontId="5" fillId="2" borderId="19" xfId="0" applyNumberFormat="1" applyFont="1" applyFill="1" applyBorder="1" applyAlignment="1">
      <alignment horizontal="center"/>
    </xf>
    <xf numFmtId="185" fontId="5" fillId="2" borderId="1" xfId="0" applyNumberFormat="1" applyFont="1" applyFill="1" applyBorder="1" applyAlignment="1">
      <alignment horizontal="center"/>
    </xf>
    <xf numFmtId="190" fontId="5" fillId="2" borderId="1" xfId="0" applyNumberFormat="1" applyFont="1" applyFill="1" applyBorder="1" applyAlignment="1">
      <alignment horizontal="center"/>
    </xf>
    <xf numFmtId="19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90" fontId="5" fillId="2" borderId="1" xfId="0" applyNumberFormat="1" applyFont="1" applyFill="1" applyBorder="1" applyAlignment="1">
      <alignment horizontal="center" vertical="center"/>
    </xf>
    <xf numFmtId="17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173" fontId="14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73" fontId="5" fillId="2" borderId="9" xfId="0" applyNumberFormat="1" applyFont="1" applyFill="1" applyBorder="1" applyAlignment="1">
      <alignment horizontal="center" vertical="center"/>
    </xf>
    <xf numFmtId="173" fontId="5" fillId="2" borderId="1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9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vertical="top" wrapText="1"/>
    </xf>
    <xf numFmtId="182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23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</cellXfs>
  <cellStyles count="11">
    <cellStyle name="Normal" xfId="0"/>
    <cellStyle name="Hyperlink" xfId="15"/>
    <cellStyle name="Currency" xfId="16"/>
    <cellStyle name="Currency [0]" xfId="17"/>
    <cellStyle name="Обычный_12" xfId="18"/>
    <cellStyle name="Обычный_17" xfId="19"/>
    <cellStyle name="Обычный_приложения к бюджету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4;&#1090;&#1095;&#1077;&#1090;%20&#1086;%20&#1088;&#1072;&#1089;&#1093;&#1086;&#1076;&#1072;&#1093;%20&#1073;&#1102;&#1076;&#1078;&#1077;&#1090;&#1072;%20&#1085;&#1072;%20&#1076;&#1086;&#1088;&#1086;&#1078;&#1085;&#1086;&#1077;%20&#1093;&#1086;&#1079;&#1103;&#1081;&#1089;&#1090;&#1074;&#1086;%20&#1079;&#1072;%202007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 (4квартал) (2)"/>
      <sheetName val="23 (4квартал) (3)"/>
      <sheetName val="Лист1"/>
      <sheetName val="Лист2"/>
      <sheetName val="Лист3"/>
    </sheetNames>
    <sheetDataSet>
      <sheetData sheetId="1">
        <row r="27">
          <cell r="B27" t="str">
            <v>ЗАО ПУДСиБ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workbookViewId="0" topLeftCell="A1">
      <pane xSplit="2" ySplit="7" topLeftCell="C1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55" sqref="F155"/>
    </sheetView>
  </sheetViews>
  <sheetFormatPr defaultColWidth="9.140625" defaultRowHeight="12.75"/>
  <cols>
    <col min="1" max="1" width="4.28125" style="151" customWidth="1"/>
    <col min="2" max="2" width="31.28125" style="152" customWidth="1"/>
    <col min="3" max="3" width="12.00390625" style="153" customWidth="1"/>
    <col min="4" max="5" width="9.8515625" style="153" customWidth="1"/>
    <col min="6" max="6" width="9.421875" style="152" customWidth="1"/>
    <col min="7" max="7" width="9.28125" style="152" customWidth="1"/>
    <col min="8" max="8" width="11.00390625" style="152" customWidth="1"/>
    <col min="9" max="9" width="9.140625" style="152" customWidth="1"/>
    <col min="10" max="10" width="10.57421875" style="152" customWidth="1"/>
    <col min="11" max="11" width="9.28125" style="152" customWidth="1"/>
    <col min="12" max="12" width="9.7109375" style="152" customWidth="1"/>
    <col min="13" max="16384" width="9.140625" style="152" customWidth="1"/>
  </cols>
  <sheetData>
    <row r="1" ht="12.75">
      <c r="L1" s="3" t="s">
        <v>938</v>
      </c>
    </row>
    <row r="3" spans="1:12" s="53" customFormat="1" ht="15.75">
      <c r="A3" s="154"/>
      <c r="B3" s="53" t="s">
        <v>567</v>
      </c>
      <c r="C3" s="155"/>
      <c r="D3" s="155"/>
      <c r="E3" s="155"/>
      <c r="F3" s="156"/>
      <c r="G3" s="156"/>
      <c r="H3" s="156"/>
      <c r="I3" s="156"/>
      <c r="J3" s="156"/>
      <c r="K3" s="156"/>
      <c r="L3" s="156"/>
    </row>
    <row r="4" spans="6:12" ht="12">
      <c r="F4" s="157"/>
      <c r="G4" s="157"/>
      <c r="H4" s="157"/>
      <c r="I4" s="157"/>
      <c r="J4" s="157"/>
      <c r="K4" s="157"/>
      <c r="L4" s="157"/>
    </row>
    <row r="5" ht="12.75">
      <c r="L5" s="38" t="s">
        <v>749</v>
      </c>
    </row>
    <row r="6" spans="1:12" s="158" customFormat="1" ht="13.5" customHeight="1">
      <c r="A6" s="743" t="s">
        <v>743</v>
      </c>
      <c r="B6" s="745" t="s">
        <v>750</v>
      </c>
      <c r="C6" s="747" t="s">
        <v>751</v>
      </c>
      <c r="D6" s="747"/>
      <c r="E6" s="747"/>
      <c r="F6" s="747"/>
      <c r="G6" s="748"/>
      <c r="H6" s="740" t="s">
        <v>752</v>
      </c>
      <c r="I6" s="741"/>
      <c r="J6" s="741"/>
      <c r="K6" s="741"/>
      <c r="L6" s="742"/>
    </row>
    <row r="7" spans="1:12" s="164" customFormat="1" ht="62.25" customHeight="1">
      <c r="A7" s="744"/>
      <c r="B7" s="746"/>
      <c r="C7" s="161" t="s">
        <v>753</v>
      </c>
      <c r="D7" s="161" t="s">
        <v>754</v>
      </c>
      <c r="E7" s="161" t="s">
        <v>755</v>
      </c>
      <c r="F7" s="160" t="s">
        <v>988</v>
      </c>
      <c r="G7" s="162" t="s">
        <v>756</v>
      </c>
      <c r="H7" s="159" t="s">
        <v>753</v>
      </c>
      <c r="I7" s="160" t="s">
        <v>754</v>
      </c>
      <c r="J7" s="160" t="s">
        <v>755</v>
      </c>
      <c r="K7" s="160" t="s">
        <v>988</v>
      </c>
      <c r="L7" s="163" t="s">
        <v>756</v>
      </c>
    </row>
    <row r="8" spans="1:12" s="90" customFormat="1" ht="12">
      <c r="A8" s="159">
        <v>1</v>
      </c>
      <c r="B8" s="88">
        <v>2</v>
      </c>
      <c r="C8" s="165">
        <v>3</v>
      </c>
      <c r="D8" s="165">
        <v>4</v>
      </c>
      <c r="E8" s="165">
        <v>5</v>
      </c>
      <c r="F8" s="166">
        <v>6</v>
      </c>
      <c r="G8" s="167">
        <v>7</v>
      </c>
      <c r="H8" s="168">
        <v>8</v>
      </c>
      <c r="I8" s="88">
        <v>9</v>
      </c>
      <c r="J8" s="88">
        <v>10</v>
      </c>
      <c r="K8" s="88">
        <v>11</v>
      </c>
      <c r="L8" s="89">
        <v>12</v>
      </c>
    </row>
    <row r="9" spans="1:12" s="174" customFormat="1" ht="11.25" customHeight="1">
      <c r="A9" s="737">
        <v>1</v>
      </c>
      <c r="B9" s="169" t="s">
        <v>213</v>
      </c>
      <c r="C9" s="170">
        <f>C10+C11+C12</f>
        <v>5117.4</v>
      </c>
      <c r="D9" s="170">
        <f>D10+D11+D12</f>
        <v>2299.8</v>
      </c>
      <c r="E9" s="170">
        <f>E10+E11+E12</f>
        <v>2086.9</v>
      </c>
      <c r="F9" s="170">
        <f aca="true" t="shared" si="0" ref="F9:F27">E9/C9*100</f>
        <v>40.8</v>
      </c>
      <c r="G9" s="171">
        <f aca="true" t="shared" si="1" ref="G9:G27">E9/D9*100</f>
        <v>90.7</v>
      </c>
      <c r="H9" s="483">
        <f>H10+H11+H12+H13</f>
        <v>5949.5</v>
      </c>
      <c r="I9" s="172">
        <f>I10+I11+I12+I13</f>
        <v>2467.7</v>
      </c>
      <c r="J9" s="172">
        <f>J10+J11+J12+J13</f>
        <v>2294.5</v>
      </c>
      <c r="K9" s="172">
        <f>J9/H9*100</f>
        <v>38.6</v>
      </c>
      <c r="L9" s="173">
        <f>J9/I9*100</f>
        <v>93</v>
      </c>
    </row>
    <row r="10" spans="1:12" s="90" customFormat="1" ht="12.75" customHeight="1">
      <c r="A10" s="738"/>
      <c r="B10" s="175" t="s">
        <v>757</v>
      </c>
      <c r="C10" s="176">
        <v>3232.6</v>
      </c>
      <c r="D10" s="176">
        <v>1281.2</v>
      </c>
      <c r="E10" s="176">
        <v>1045.7</v>
      </c>
      <c r="F10" s="176">
        <f t="shared" si="0"/>
        <v>32.3</v>
      </c>
      <c r="G10" s="177">
        <f t="shared" si="1"/>
        <v>81.6</v>
      </c>
      <c r="H10" s="484">
        <v>5878</v>
      </c>
      <c r="I10" s="178">
        <v>2417.5</v>
      </c>
      <c r="J10" s="178">
        <v>2263.1</v>
      </c>
      <c r="K10" s="178">
        <f>J10/H10*100</f>
        <v>38.5</v>
      </c>
      <c r="L10" s="179">
        <f>J10/I10*100</f>
        <v>93.6</v>
      </c>
    </row>
    <row r="11" spans="1:12" s="90" customFormat="1" ht="12.75" customHeight="1">
      <c r="A11" s="738"/>
      <c r="B11" s="175" t="s">
        <v>758</v>
      </c>
      <c r="C11" s="176">
        <v>1842.8</v>
      </c>
      <c r="D11" s="176">
        <v>997.9</v>
      </c>
      <c r="E11" s="176">
        <v>997.9</v>
      </c>
      <c r="F11" s="176">
        <f t="shared" si="0"/>
        <v>54.2</v>
      </c>
      <c r="G11" s="177">
        <f t="shared" si="1"/>
        <v>100</v>
      </c>
      <c r="H11" s="484"/>
      <c r="I11" s="178"/>
      <c r="J11" s="178"/>
      <c r="K11" s="178"/>
      <c r="L11" s="179"/>
    </row>
    <row r="12" spans="1:12" s="90" customFormat="1" ht="12.75" customHeight="1">
      <c r="A12" s="738"/>
      <c r="B12" s="180" t="s">
        <v>759</v>
      </c>
      <c r="C12" s="176">
        <v>42</v>
      </c>
      <c r="D12" s="176">
        <v>20.7</v>
      </c>
      <c r="E12" s="176">
        <v>43.3</v>
      </c>
      <c r="F12" s="176">
        <f t="shared" si="0"/>
        <v>103.1</v>
      </c>
      <c r="G12" s="177">
        <f t="shared" si="1"/>
        <v>209.2</v>
      </c>
      <c r="H12" s="484">
        <v>71.5</v>
      </c>
      <c r="I12" s="178">
        <v>50.2</v>
      </c>
      <c r="J12" s="178">
        <v>31.4</v>
      </c>
      <c r="K12" s="178">
        <f>J12/H12*100</f>
        <v>43.9</v>
      </c>
      <c r="L12" s="179">
        <f>J12/I12*100</f>
        <v>62.5</v>
      </c>
    </row>
    <row r="13" spans="1:12" s="90" customFormat="1" ht="15" customHeight="1">
      <c r="A13" s="739"/>
      <c r="B13" s="180" t="s">
        <v>760</v>
      </c>
      <c r="C13" s="176">
        <f>H9-(C10+C11+C12)</f>
        <v>832.1</v>
      </c>
      <c r="D13" s="176">
        <f>I9-(D10+D11+D12)</f>
        <v>167.9</v>
      </c>
      <c r="E13" s="176">
        <f>J9-(E10+E11+E12)</f>
        <v>207.6</v>
      </c>
      <c r="F13" s="176">
        <f t="shared" si="0"/>
        <v>24.9</v>
      </c>
      <c r="G13" s="177">
        <f t="shared" si="1"/>
        <v>123.6</v>
      </c>
      <c r="H13" s="484"/>
      <c r="I13" s="178"/>
      <c r="J13" s="178"/>
      <c r="K13" s="178"/>
      <c r="L13" s="179"/>
    </row>
    <row r="14" spans="1:12" s="174" customFormat="1" ht="11.25" customHeight="1">
      <c r="A14" s="737">
        <v>2</v>
      </c>
      <c r="B14" s="169" t="s">
        <v>214</v>
      </c>
      <c r="C14" s="170">
        <f>C15+C16+C17</f>
        <v>8953.2</v>
      </c>
      <c r="D14" s="170">
        <f>D15+D16+D17</f>
        <v>4116.7</v>
      </c>
      <c r="E14" s="170">
        <f>E15+E16+E17</f>
        <v>3612</v>
      </c>
      <c r="F14" s="170">
        <f t="shared" si="0"/>
        <v>40.3</v>
      </c>
      <c r="G14" s="171">
        <f t="shared" si="1"/>
        <v>87.7</v>
      </c>
      <c r="H14" s="483">
        <f>H15+H16+H17+H18</f>
        <v>18637.7</v>
      </c>
      <c r="I14" s="172">
        <f>I15+I16+I17+I18</f>
        <v>12412.5</v>
      </c>
      <c r="J14" s="172">
        <f>J15+J16+J17+J18</f>
        <v>10886.5</v>
      </c>
      <c r="K14" s="172">
        <f>J14/H14*100</f>
        <v>58.4</v>
      </c>
      <c r="L14" s="173">
        <f>J14/I14*100</f>
        <v>87.7</v>
      </c>
    </row>
    <row r="15" spans="1:12" s="90" customFormat="1" ht="12.75" customHeight="1">
      <c r="A15" s="738"/>
      <c r="B15" s="175" t="s">
        <v>757</v>
      </c>
      <c r="C15" s="176">
        <v>7437.4</v>
      </c>
      <c r="D15" s="176">
        <v>3275.7</v>
      </c>
      <c r="E15" s="176">
        <v>2794.6</v>
      </c>
      <c r="F15" s="176">
        <f t="shared" si="0"/>
        <v>37.6</v>
      </c>
      <c r="G15" s="177">
        <f t="shared" si="1"/>
        <v>85.3</v>
      </c>
      <c r="H15" s="484">
        <v>18376.5</v>
      </c>
      <c r="I15" s="178">
        <v>12243.3</v>
      </c>
      <c r="J15" s="178">
        <v>10766.6</v>
      </c>
      <c r="K15" s="178">
        <f>J15/H15*100</f>
        <v>58.6</v>
      </c>
      <c r="L15" s="179">
        <f>J15/I15*100</f>
        <v>87.9</v>
      </c>
    </row>
    <row r="16" spans="1:12" s="90" customFormat="1" ht="12.75" customHeight="1">
      <c r="A16" s="738"/>
      <c r="B16" s="175" t="s">
        <v>758</v>
      </c>
      <c r="C16" s="176">
        <v>1260.1</v>
      </c>
      <c r="D16" s="176">
        <v>677.3</v>
      </c>
      <c r="E16" s="176">
        <v>677.3</v>
      </c>
      <c r="F16" s="176">
        <f t="shared" si="0"/>
        <v>53.7</v>
      </c>
      <c r="G16" s="177">
        <f t="shared" si="1"/>
        <v>100</v>
      </c>
      <c r="H16" s="484"/>
      <c r="I16" s="178"/>
      <c r="J16" s="178"/>
      <c r="K16" s="178"/>
      <c r="L16" s="179"/>
    </row>
    <row r="17" spans="1:12" s="90" customFormat="1" ht="12.75" customHeight="1">
      <c r="A17" s="738"/>
      <c r="B17" s="180" t="s">
        <v>759</v>
      </c>
      <c r="C17" s="176">
        <v>255.7</v>
      </c>
      <c r="D17" s="176">
        <v>163.7</v>
      </c>
      <c r="E17" s="176">
        <v>140.1</v>
      </c>
      <c r="F17" s="176">
        <f t="shared" si="0"/>
        <v>54.8</v>
      </c>
      <c r="G17" s="177">
        <f t="shared" si="1"/>
        <v>85.6</v>
      </c>
      <c r="H17" s="484">
        <v>261.2</v>
      </c>
      <c r="I17" s="178">
        <v>169.2</v>
      </c>
      <c r="J17" s="178">
        <v>119.9</v>
      </c>
      <c r="K17" s="178">
        <f>J17/H17*100</f>
        <v>45.9</v>
      </c>
      <c r="L17" s="179">
        <f>J17/I17*100</f>
        <v>70.9</v>
      </c>
    </row>
    <row r="18" spans="1:12" s="90" customFormat="1" ht="13.5" customHeight="1">
      <c r="A18" s="739"/>
      <c r="B18" s="180" t="s">
        <v>760</v>
      </c>
      <c r="C18" s="176">
        <f>H14-(C15+C17+C16)</f>
        <v>9684.5</v>
      </c>
      <c r="D18" s="176">
        <f>I14-(D15+D17+D16)</f>
        <v>8295.8</v>
      </c>
      <c r="E18" s="176">
        <f>J14-(E15+E17+E16)</f>
        <v>7274.5</v>
      </c>
      <c r="F18" s="176">
        <f t="shared" si="0"/>
        <v>75.1</v>
      </c>
      <c r="G18" s="177">
        <f t="shared" si="1"/>
        <v>87.7</v>
      </c>
      <c r="H18" s="484"/>
      <c r="I18" s="178"/>
      <c r="J18" s="178"/>
      <c r="K18" s="178"/>
      <c r="L18" s="179"/>
    </row>
    <row r="19" spans="1:12" s="174" customFormat="1" ht="11.25" customHeight="1">
      <c r="A19" s="737">
        <v>3</v>
      </c>
      <c r="B19" s="169" t="s">
        <v>215</v>
      </c>
      <c r="C19" s="170">
        <f>C20+C21+C22</f>
        <v>22325.4</v>
      </c>
      <c r="D19" s="170">
        <f>D20+D21+D22</f>
        <v>11672</v>
      </c>
      <c r="E19" s="170">
        <f>E20+E21+E22</f>
        <v>13624.1</v>
      </c>
      <c r="F19" s="170">
        <f t="shared" si="0"/>
        <v>61</v>
      </c>
      <c r="G19" s="171">
        <f t="shared" si="1"/>
        <v>116.7</v>
      </c>
      <c r="H19" s="483">
        <f>H20+H21+H22+H23</f>
        <v>24368</v>
      </c>
      <c r="I19" s="172">
        <f>I20+I21+I22+I23</f>
        <v>13338.9</v>
      </c>
      <c r="J19" s="172">
        <f>J20+J21+J22+J23</f>
        <v>10809.3</v>
      </c>
      <c r="K19" s="172">
        <f>J19/H19*100</f>
        <v>44.4</v>
      </c>
      <c r="L19" s="173">
        <f>J19/I19*100</f>
        <v>81</v>
      </c>
    </row>
    <row r="20" spans="1:12" s="90" customFormat="1" ht="12.75" customHeight="1">
      <c r="A20" s="738"/>
      <c r="B20" s="175" t="s">
        <v>757</v>
      </c>
      <c r="C20" s="176">
        <v>19853.1</v>
      </c>
      <c r="D20" s="176">
        <v>10341.2</v>
      </c>
      <c r="E20" s="176">
        <v>12443.7</v>
      </c>
      <c r="F20" s="176">
        <f t="shared" si="0"/>
        <v>62.7</v>
      </c>
      <c r="G20" s="177">
        <f t="shared" si="1"/>
        <v>120.3</v>
      </c>
      <c r="H20" s="484">
        <v>23815.7</v>
      </c>
      <c r="I20" s="178">
        <v>12933.9</v>
      </c>
      <c r="J20" s="178">
        <v>10752.2</v>
      </c>
      <c r="K20" s="178">
        <f>J20/H20*100</f>
        <v>45.1</v>
      </c>
      <c r="L20" s="179">
        <f>J20/I20*100</f>
        <v>83.1</v>
      </c>
    </row>
    <row r="21" spans="1:12" s="90" customFormat="1" ht="12.75" customHeight="1">
      <c r="A21" s="738"/>
      <c r="B21" s="175" t="s">
        <v>758</v>
      </c>
      <c r="C21" s="176">
        <v>1991.4</v>
      </c>
      <c r="D21" s="176">
        <v>997.2</v>
      </c>
      <c r="E21" s="176">
        <v>997.2</v>
      </c>
      <c r="F21" s="176">
        <f t="shared" si="0"/>
        <v>50.1</v>
      </c>
      <c r="G21" s="177">
        <f t="shared" si="1"/>
        <v>100</v>
      </c>
      <c r="H21" s="484"/>
      <c r="I21" s="178"/>
      <c r="J21" s="178"/>
      <c r="K21" s="178"/>
      <c r="L21" s="179"/>
    </row>
    <row r="22" spans="1:12" s="90" customFormat="1" ht="12.75" customHeight="1">
      <c r="A22" s="738"/>
      <c r="B22" s="180" t="s">
        <v>759</v>
      </c>
      <c r="C22" s="176">
        <v>480.9</v>
      </c>
      <c r="D22" s="176">
        <v>333.6</v>
      </c>
      <c r="E22" s="176">
        <v>183.2</v>
      </c>
      <c r="F22" s="176">
        <f t="shared" si="0"/>
        <v>38.1</v>
      </c>
      <c r="G22" s="177">
        <f t="shared" si="1"/>
        <v>54.9</v>
      </c>
      <c r="H22" s="484">
        <v>552.3</v>
      </c>
      <c r="I22" s="178">
        <v>405</v>
      </c>
      <c r="J22" s="178">
        <v>57.1</v>
      </c>
      <c r="K22" s="178">
        <f>J22/H22*100</f>
        <v>10.3</v>
      </c>
      <c r="L22" s="179">
        <f>J22/I22*100</f>
        <v>14.1</v>
      </c>
    </row>
    <row r="23" spans="1:12" s="90" customFormat="1" ht="12.75" customHeight="1">
      <c r="A23" s="739"/>
      <c r="B23" s="180" t="s">
        <v>760</v>
      </c>
      <c r="C23" s="176">
        <f>H19-(C20+C21+C22)</f>
        <v>2042.6</v>
      </c>
      <c r="D23" s="176">
        <f>I19-(D20+D21+D22)</f>
        <v>1666.9</v>
      </c>
      <c r="E23" s="176">
        <f>J19-(E20+E21+E22)</f>
        <v>-2814.8</v>
      </c>
      <c r="F23" s="176">
        <f t="shared" si="0"/>
        <v>-137.8</v>
      </c>
      <c r="G23" s="177">
        <f t="shared" si="1"/>
        <v>-168.9</v>
      </c>
      <c r="H23" s="484"/>
      <c r="I23" s="178"/>
      <c r="J23" s="178"/>
      <c r="K23" s="178"/>
      <c r="L23" s="179"/>
    </row>
    <row r="24" spans="1:12" s="174" customFormat="1" ht="11.25" customHeight="1">
      <c r="A24" s="737">
        <v>4</v>
      </c>
      <c r="B24" s="169" t="s">
        <v>216</v>
      </c>
      <c r="C24" s="181">
        <f>C26+C27+C25</f>
        <v>3663.2</v>
      </c>
      <c r="D24" s="181">
        <f>D26+D27+D25</f>
        <v>1880.5</v>
      </c>
      <c r="E24" s="181">
        <f>E26+E27+E25</f>
        <v>2086.2</v>
      </c>
      <c r="F24" s="176">
        <f t="shared" si="0"/>
        <v>57</v>
      </c>
      <c r="G24" s="177">
        <f t="shared" si="1"/>
        <v>110.9</v>
      </c>
      <c r="H24" s="483">
        <f>H25+H26+H27+H28</f>
        <v>3878.1</v>
      </c>
      <c r="I24" s="172">
        <f>I25+I26+I27+I28</f>
        <v>2065.1</v>
      </c>
      <c r="J24" s="172">
        <f>J25+J26+J27+J28</f>
        <v>1504.4</v>
      </c>
      <c r="K24" s="172">
        <f>J24/H24*100</f>
        <v>38.8</v>
      </c>
      <c r="L24" s="173">
        <f>J24/I24*100</f>
        <v>72.8</v>
      </c>
    </row>
    <row r="25" spans="1:12" s="90" customFormat="1" ht="12.75" customHeight="1">
      <c r="A25" s="738"/>
      <c r="B25" s="175" t="s">
        <v>757</v>
      </c>
      <c r="C25" s="176">
        <v>1047.9</v>
      </c>
      <c r="D25" s="176">
        <v>344.2</v>
      </c>
      <c r="E25" s="176">
        <v>525.6</v>
      </c>
      <c r="F25" s="182">
        <f t="shared" si="0"/>
        <v>50.2</v>
      </c>
      <c r="G25" s="183">
        <f t="shared" si="1"/>
        <v>152.7</v>
      </c>
      <c r="H25" s="484">
        <v>3770.1</v>
      </c>
      <c r="I25" s="178">
        <v>2001.6</v>
      </c>
      <c r="J25" s="178">
        <v>1485.5</v>
      </c>
      <c r="K25" s="178">
        <f>J25/H25*100</f>
        <v>39.4</v>
      </c>
      <c r="L25" s="179">
        <f>J25/I25*100</f>
        <v>74.2</v>
      </c>
    </row>
    <row r="26" spans="1:12" s="90" customFormat="1" ht="12.75" customHeight="1">
      <c r="A26" s="738"/>
      <c r="B26" s="175" t="s">
        <v>758</v>
      </c>
      <c r="C26" s="176">
        <v>2507.5</v>
      </c>
      <c r="D26" s="176">
        <v>1472.9</v>
      </c>
      <c r="E26" s="176">
        <v>1472.9</v>
      </c>
      <c r="F26" s="176">
        <f t="shared" si="0"/>
        <v>58.7</v>
      </c>
      <c r="G26" s="177">
        <f t="shared" si="1"/>
        <v>100</v>
      </c>
      <c r="H26" s="484"/>
      <c r="I26" s="178"/>
      <c r="J26" s="178"/>
      <c r="K26" s="178"/>
      <c r="L26" s="179"/>
    </row>
    <row r="27" spans="1:12" s="90" customFormat="1" ht="12.75" customHeight="1">
      <c r="A27" s="738"/>
      <c r="B27" s="180" t="s">
        <v>759</v>
      </c>
      <c r="C27" s="176">
        <v>107.8</v>
      </c>
      <c r="D27" s="176">
        <v>63.4</v>
      </c>
      <c r="E27" s="176">
        <v>87.7</v>
      </c>
      <c r="F27" s="176">
        <f t="shared" si="0"/>
        <v>81.4</v>
      </c>
      <c r="G27" s="177">
        <f t="shared" si="1"/>
        <v>138.3</v>
      </c>
      <c r="H27" s="484">
        <v>108</v>
      </c>
      <c r="I27" s="178">
        <v>63.5</v>
      </c>
      <c r="J27" s="178">
        <v>18.9</v>
      </c>
      <c r="K27" s="178">
        <f>J27/H27*100</f>
        <v>17.5</v>
      </c>
      <c r="L27" s="179">
        <f>J27/I27*100</f>
        <v>29.8</v>
      </c>
    </row>
    <row r="28" spans="1:12" s="90" customFormat="1" ht="14.25" customHeight="1">
      <c r="A28" s="739"/>
      <c r="B28" s="180" t="s">
        <v>760</v>
      </c>
      <c r="C28" s="176">
        <f>H24-(C25+C26+C27)</f>
        <v>214.9</v>
      </c>
      <c r="D28" s="176">
        <f>I24-(D25+D26+D27)</f>
        <v>184.6</v>
      </c>
      <c r="E28" s="176">
        <f>J24-(E25+E26+E27)</f>
        <v>-581.8</v>
      </c>
      <c r="F28" s="176"/>
      <c r="G28" s="177"/>
      <c r="H28" s="484"/>
      <c r="I28" s="178"/>
      <c r="J28" s="178"/>
      <c r="K28" s="178"/>
      <c r="L28" s="179"/>
    </row>
    <row r="29" spans="1:12" s="174" customFormat="1" ht="12" customHeight="1">
      <c r="A29" s="737">
        <v>5</v>
      </c>
      <c r="B29" s="169" t="s">
        <v>217</v>
      </c>
      <c r="C29" s="170">
        <f>C30+C31+C32</f>
        <v>11080.9</v>
      </c>
      <c r="D29" s="170">
        <f>D30+D31+D32</f>
        <v>5308.5</v>
      </c>
      <c r="E29" s="170">
        <f>E30+E31+E32</f>
        <v>7907.8</v>
      </c>
      <c r="F29" s="170">
        <f aca="true" t="shared" si="2" ref="F29:F37">E29/C29*100</f>
        <v>71.4</v>
      </c>
      <c r="G29" s="171">
        <f aca="true" t="shared" si="3" ref="G29:G37">E29/D29*100</f>
        <v>149</v>
      </c>
      <c r="H29" s="483">
        <f>H30+H31+H32+H33</f>
        <v>26383.9</v>
      </c>
      <c r="I29" s="172">
        <f>I30+I31+I32+I33</f>
        <v>9956</v>
      </c>
      <c r="J29" s="172">
        <f>J30+J31+J32+J33</f>
        <v>8263.3</v>
      </c>
      <c r="K29" s="172">
        <f>J29/H29*100</f>
        <v>31.3</v>
      </c>
      <c r="L29" s="173">
        <f>J29/I29*100</f>
        <v>83</v>
      </c>
    </row>
    <row r="30" spans="1:12" s="90" customFormat="1" ht="12.75" customHeight="1">
      <c r="A30" s="738"/>
      <c r="B30" s="175" t="s">
        <v>757</v>
      </c>
      <c r="C30" s="176">
        <v>9008.7</v>
      </c>
      <c r="D30" s="176">
        <v>4223.2</v>
      </c>
      <c r="E30" s="176">
        <v>6846.1</v>
      </c>
      <c r="F30" s="176">
        <f t="shared" si="2"/>
        <v>76</v>
      </c>
      <c r="G30" s="177">
        <f t="shared" si="3"/>
        <v>162.1</v>
      </c>
      <c r="H30" s="484">
        <v>26278.6</v>
      </c>
      <c r="I30" s="178">
        <v>9891.6</v>
      </c>
      <c r="J30" s="178">
        <v>8230.6</v>
      </c>
      <c r="K30" s="178">
        <f>J30/H30*100</f>
        <v>31.3</v>
      </c>
      <c r="L30" s="179">
        <f>J30/I30*100</f>
        <v>83.2</v>
      </c>
    </row>
    <row r="31" spans="1:12" s="90" customFormat="1" ht="12.75" customHeight="1">
      <c r="A31" s="738"/>
      <c r="B31" s="175" t="s">
        <v>758</v>
      </c>
      <c r="C31" s="176">
        <v>1990.5</v>
      </c>
      <c r="D31" s="176">
        <v>1044.5</v>
      </c>
      <c r="E31" s="176">
        <v>1044.5</v>
      </c>
      <c r="F31" s="176">
        <f t="shared" si="2"/>
        <v>52.5</v>
      </c>
      <c r="G31" s="177">
        <f t="shared" si="3"/>
        <v>100</v>
      </c>
      <c r="H31" s="484"/>
      <c r="I31" s="178"/>
      <c r="J31" s="178"/>
      <c r="K31" s="178"/>
      <c r="L31" s="179"/>
    </row>
    <row r="32" spans="1:12" s="90" customFormat="1" ht="12.75" customHeight="1">
      <c r="A32" s="738"/>
      <c r="B32" s="180" t="s">
        <v>759</v>
      </c>
      <c r="C32" s="176">
        <v>81.7</v>
      </c>
      <c r="D32" s="176">
        <v>40.8</v>
      </c>
      <c r="E32" s="176">
        <v>17.2</v>
      </c>
      <c r="F32" s="176">
        <f t="shared" si="2"/>
        <v>21.1</v>
      </c>
      <c r="G32" s="177">
        <f t="shared" si="3"/>
        <v>42.2</v>
      </c>
      <c r="H32" s="484">
        <v>105.3</v>
      </c>
      <c r="I32" s="178">
        <v>64.4</v>
      </c>
      <c r="J32" s="178">
        <v>32.7</v>
      </c>
      <c r="K32" s="178">
        <f>J32/H32*100</f>
        <v>31.1</v>
      </c>
      <c r="L32" s="179">
        <f>J32/I32*100</f>
        <v>50.8</v>
      </c>
    </row>
    <row r="33" spans="1:12" s="90" customFormat="1" ht="13.5" customHeight="1">
      <c r="A33" s="739"/>
      <c r="B33" s="180" t="s">
        <v>760</v>
      </c>
      <c r="C33" s="176">
        <f>H29-(C30+C31+C32)</f>
        <v>15303</v>
      </c>
      <c r="D33" s="176">
        <f>I29-(D30+D31+D32)</f>
        <v>4647.5</v>
      </c>
      <c r="E33" s="176">
        <f>J29-(E30+E31+E32)</f>
        <v>355.5</v>
      </c>
      <c r="F33" s="176">
        <f t="shared" si="2"/>
        <v>2.3</v>
      </c>
      <c r="G33" s="177">
        <f t="shared" si="3"/>
        <v>7.6</v>
      </c>
      <c r="H33" s="484"/>
      <c r="I33" s="178"/>
      <c r="J33" s="178"/>
      <c r="K33" s="178"/>
      <c r="L33" s="179"/>
    </row>
    <row r="34" spans="1:12" s="174" customFormat="1" ht="11.25" customHeight="1">
      <c r="A34" s="737">
        <v>6</v>
      </c>
      <c r="B34" s="169" t="s">
        <v>218</v>
      </c>
      <c r="C34" s="170">
        <f>C35+C36+C37</f>
        <v>2637.9</v>
      </c>
      <c r="D34" s="170">
        <f>D35+D36+D37</f>
        <v>1369.3</v>
      </c>
      <c r="E34" s="170">
        <f>E35+E36+E37</f>
        <v>1576.7</v>
      </c>
      <c r="F34" s="170">
        <f t="shared" si="2"/>
        <v>59.8</v>
      </c>
      <c r="G34" s="171">
        <f t="shared" si="3"/>
        <v>115.1</v>
      </c>
      <c r="H34" s="483">
        <f>H35+H36+H37+H38</f>
        <v>2839.9</v>
      </c>
      <c r="I34" s="172">
        <f>I35+I36+I37+I38</f>
        <v>1570.8</v>
      </c>
      <c r="J34" s="172">
        <f>J35+J36+J37+J38</f>
        <v>1123.4</v>
      </c>
      <c r="K34" s="172">
        <f>J34/H34*100</f>
        <v>39.6</v>
      </c>
      <c r="L34" s="173">
        <f>J34/I34*100</f>
        <v>71.5</v>
      </c>
    </row>
    <row r="35" spans="1:12" s="90" customFormat="1" ht="12.75" customHeight="1">
      <c r="A35" s="738"/>
      <c r="B35" s="175" t="s">
        <v>757</v>
      </c>
      <c r="C35" s="176">
        <v>772.2</v>
      </c>
      <c r="D35" s="176">
        <v>283.1</v>
      </c>
      <c r="E35" s="176">
        <v>485</v>
      </c>
      <c r="F35" s="176">
        <f t="shared" si="2"/>
        <v>62.8</v>
      </c>
      <c r="G35" s="177">
        <f t="shared" si="3"/>
        <v>171.3</v>
      </c>
      <c r="H35" s="484">
        <v>2807.9</v>
      </c>
      <c r="I35" s="178">
        <v>1553.8</v>
      </c>
      <c r="J35" s="178">
        <v>1120</v>
      </c>
      <c r="K35" s="178">
        <f>J35/H35*100</f>
        <v>39.9</v>
      </c>
      <c r="L35" s="179">
        <f>J35/I35*100</f>
        <v>72.1</v>
      </c>
    </row>
    <row r="36" spans="1:12" s="90" customFormat="1" ht="12.75" customHeight="1">
      <c r="A36" s="738"/>
      <c r="B36" s="175" t="s">
        <v>758</v>
      </c>
      <c r="C36" s="176">
        <v>1835.7</v>
      </c>
      <c r="D36" s="176">
        <v>1071.2</v>
      </c>
      <c r="E36" s="176">
        <v>1071.2</v>
      </c>
      <c r="F36" s="176">
        <f t="shared" si="2"/>
        <v>58.4</v>
      </c>
      <c r="G36" s="177">
        <f t="shared" si="3"/>
        <v>100</v>
      </c>
      <c r="H36" s="484"/>
      <c r="I36" s="178"/>
      <c r="J36" s="178"/>
      <c r="K36" s="178"/>
      <c r="L36" s="179"/>
    </row>
    <row r="37" spans="1:12" s="90" customFormat="1" ht="12.75" customHeight="1">
      <c r="A37" s="738"/>
      <c r="B37" s="180" t="s">
        <v>759</v>
      </c>
      <c r="C37" s="176">
        <v>30</v>
      </c>
      <c r="D37" s="176">
        <v>15</v>
      </c>
      <c r="E37" s="176">
        <v>20.5</v>
      </c>
      <c r="F37" s="176">
        <f t="shared" si="2"/>
        <v>68.3</v>
      </c>
      <c r="G37" s="177">
        <f t="shared" si="3"/>
        <v>136.7</v>
      </c>
      <c r="H37" s="484">
        <v>32</v>
      </c>
      <c r="I37" s="178">
        <v>17</v>
      </c>
      <c r="J37" s="178">
        <v>3.4</v>
      </c>
      <c r="K37" s="178">
        <f>J37/H37*100</f>
        <v>10.6</v>
      </c>
      <c r="L37" s="179">
        <f>J37/I37*100</f>
        <v>20</v>
      </c>
    </row>
    <row r="38" spans="1:12" s="90" customFormat="1" ht="15" customHeight="1">
      <c r="A38" s="739"/>
      <c r="B38" s="180" t="s">
        <v>760</v>
      </c>
      <c r="C38" s="176">
        <f>H34-(C35+C36+C37)</f>
        <v>202</v>
      </c>
      <c r="D38" s="176">
        <f>I34-(D35+D36+D37)</f>
        <v>201.5</v>
      </c>
      <c r="E38" s="176">
        <f>J34-(E35+E36+E37)</f>
        <v>-453.3</v>
      </c>
      <c r="F38" s="176"/>
      <c r="G38" s="177"/>
      <c r="H38" s="484"/>
      <c r="I38" s="178"/>
      <c r="J38" s="178"/>
      <c r="K38" s="178"/>
      <c r="L38" s="179"/>
    </row>
    <row r="39" spans="1:12" s="90" customFormat="1" ht="12">
      <c r="A39" s="159">
        <v>1</v>
      </c>
      <c r="B39" s="88">
        <v>2</v>
      </c>
      <c r="C39" s="165">
        <v>3</v>
      </c>
      <c r="D39" s="165">
        <v>4</v>
      </c>
      <c r="E39" s="165">
        <v>5</v>
      </c>
      <c r="F39" s="166">
        <v>6</v>
      </c>
      <c r="G39" s="167">
        <v>7</v>
      </c>
      <c r="H39" s="510">
        <v>8</v>
      </c>
      <c r="I39" s="511">
        <v>9</v>
      </c>
      <c r="J39" s="511">
        <v>10</v>
      </c>
      <c r="K39" s="511">
        <v>11</v>
      </c>
      <c r="L39" s="512">
        <v>12</v>
      </c>
    </row>
    <row r="40" spans="1:12" s="174" customFormat="1" ht="11.25" customHeight="1">
      <c r="A40" s="737">
        <v>7</v>
      </c>
      <c r="B40" s="169" t="s">
        <v>219</v>
      </c>
      <c r="C40" s="170">
        <f>C41+C42+C43</f>
        <v>9149.8</v>
      </c>
      <c r="D40" s="170">
        <f>D41+D42+D43</f>
        <v>4396.5</v>
      </c>
      <c r="E40" s="170">
        <f>E41+E42+E43</f>
        <v>4386.3</v>
      </c>
      <c r="F40" s="170">
        <f aca="true" t="shared" si="4" ref="F40:F53">E40/C40*100</f>
        <v>47.9</v>
      </c>
      <c r="G40" s="171">
        <f aca="true" t="shared" si="5" ref="G40:G53">E40/D40*100</f>
        <v>99.8</v>
      </c>
      <c r="H40" s="483">
        <f>H41+H42+H43+H44</f>
        <v>9452.7</v>
      </c>
      <c r="I40" s="172">
        <f>I41+I42+I43+I44</f>
        <v>4831.2</v>
      </c>
      <c r="J40" s="172">
        <f>J41+J42+J43+J44</f>
        <v>3937.4</v>
      </c>
      <c r="K40" s="172">
        <f>J40/H40*100</f>
        <v>41.7</v>
      </c>
      <c r="L40" s="173">
        <f>J40/I40*100</f>
        <v>81.5</v>
      </c>
    </row>
    <row r="41" spans="1:12" s="90" customFormat="1" ht="12.75" customHeight="1">
      <c r="A41" s="738"/>
      <c r="B41" s="175" t="s">
        <v>757</v>
      </c>
      <c r="C41" s="176">
        <v>4028.5</v>
      </c>
      <c r="D41" s="176">
        <v>1414.3</v>
      </c>
      <c r="E41" s="176">
        <v>1395.4</v>
      </c>
      <c r="F41" s="176">
        <f t="shared" si="4"/>
        <v>34.6</v>
      </c>
      <c r="G41" s="177">
        <f t="shared" si="5"/>
        <v>98.7</v>
      </c>
      <c r="H41" s="484">
        <v>9257.4</v>
      </c>
      <c r="I41" s="178">
        <v>4642.8</v>
      </c>
      <c r="J41" s="178">
        <v>3804</v>
      </c>
      <c r="K41" s="178">
        <f>J41/H41*100</f>
        <v>41.1</v>
      </c>
      <c r="L41" s="179">
        <f>J41/I41*100</f>
        <v>81.9</v>
      </c>
    </row>
    <row r="42" spans="1:12" s="90" customFormat="1" ht="12.75" customHeight="1">
      <c r="A42" s="738"/>
      <c r="B42" s="175" t="s">
        <v>758</v>
      </c>
      <c r="C42" s="176">
        <v>4977.5</v>
      </c>
      <c r="D42" s="176">
        <v>2845.3</v>
      </c>
      <c r="E42" s="176">
        <v>2845.3</v>
      </c>
      <c r="F42" s="176">
        <f t="shared" si="4"/>
        <v>57.2</v>
      </c>
      <c r="G42" s="177">
        <f t="shared" si="5"/>
        <v>100</v>
      </c>
      <c r="H42" s="484"/>
      <c r="I42" s="178"/>
      <c r="J42" s="178"/>
      <c r="K42" s="178"/>
      <c r="L42" s="179"/>
    </row>
    <row r="43" spans="1:12" s="90" customFormat="1" ht="12.75" customHeight="1">
      <c r="A43" s="738"/>
      <c r="B43" s="180" t="s">
        <v>759</v>
      </c>
      <c r="C43" s="176">
        <v>143.8</v>
      </c>
      <c r="D43" s="176">
        <v>136.9</v>
      </c>
      <c r="E43" s="176">
        <v>145.6</v>
      </c>
      <c r="F43" s="176">
        <f t="shared" si="4"/>
        <v>101.3</v>
      </c>
      <c r="G43" s="177">
        <f t="shared" si="5"/>
        <v>106.4</v>
      </c>
      <c r="H43" s="484">
        <v>195.3</v>
      </c>
      <c r="I43" s="178">
        <v>188.4</v>
      </c>
      <c r="J43" s="178">
        <v>133.4</v>
      </c>
      <c r="K43" s="178">
        <f>J43/H43*100</f>
        <v>68.3</v>
      </c>
      <c r="L43" s="179">
        <f>J43/I43*100</f>
        <v>70.8</v>
      </c>
    </row>
    <row r="44" spans="1:12" s="90" customFormat="1" ht="15.75" customHeight="1">
      <c r="A44" s="739"/>
      <c r="B44" s="180" t="s">
        <v>760</v>
      </c>
      <c r="C44" s="176">
        <f>H40-(C41+C42+C43)</f>
        <v>302.9</v>
      </c>
      <c r="D44" s="176">
        <f>I40-(D41+D42+D43)</f>
        <v>434.7</v>
      </c>
      <c r="E44" s="176">
        <f>J40-(E41+E42+E43)</f>
        <v>-448.9</v>
      </c>
      <c r="F44" s="176">
        <f t="shared" si="4"/>
        <v>-148.2</v>
      </c>
      <c r="G44" s="177">
        <f t="shared" si="5"/>
        <v>-103.3</v>
      </c>
      <c r="H44" s="484"/>
      <c r="I44" s="178"/>
      <c r="J44" s="178"/>
      <c r="K44" s="178"/>
      <c r="L44" s="179"/>
    </row>
    <row r="45" spans="1:12" s="174" customFormat="1" ht="11.25" customHeight="1">
      <c r="A45" s="737">
        <v>8</v>
      </c>
      <c r="B45" s="169" t="s">
        <v>220</v>
      </c>
      <c r="C45" s="170">
        <f>C46+C47+C48</f>
        <v>28122</v>
      </c>
      <c r="D45" s="170">
        <f>D46+D47+D48</f>
        <v>17754.6</v>
      </c>
      <c r="E45" s="170">
        <f>E46+E47+E48</f>
        <v>9485.4</v>
      </c>
      <c r="F45" s="170">
        <f t="shared" si="4"/>
        <v>33.7</v>
      </c>
      <c r="G45" s="171">
        <f t="shared" si="5"/>
        <v>53.4</v>
      </c>
      <c r="H45" s="483">
        <f>H46+H47+H48+H49</f>
        <v>30528.9</v>
      </c>
      <c r="I45" s="172">
        <f>I46+I47+I48+I49</f>
        <v>19690.4</v>
      </c>
      <c r="J45" s="172">
        <f>J46+J47+J48+J49</f>
        <v>11773.1</v>
      </c>
      <c r="K45" s="172">
        <f>J45/H45*100</f>
        <v>38.6</v>
      </c>
      <c r="L45" s="173">
        <f>J45/I45*100</f>
        <v>59.8</v>
      </c>
    </row>
    <row r="46" spans="1:12" s="90" customFormat="1" ht="12.75" customHeight="1">
      <c r="A46" s="738"/>
      <c r="B46" s="175" t="s">
        <v>757</v>
      </c>
      <c r="C46" s="176">
        <v>24626.3</v>
      </c>
      <c r="D46" s="176">
        <v>15912.7</v>
      </c>
      <c r="E46" s="176">
        <v>7641.2</v>
      </c>
      <c r="F46" s="176">
        <f t="shared" si="4"/>
        <v>31</v>
      </c>
      <c r="G46" s="177">
        <f t="shared" si="5"/>
        <v>48</v>
      </c>
      <c r="H46" s="484">
        <v>29717.3</v>
      </c>
      <c r="I46" s="178">
        <v>19179.7</v>
      </c>
      <c r="J46" s="178">
        <v>11264</v>
      </c>
      <c r="K46" s="178">
        <f>J46/H46*100</f>
        <v>37.9</v>
      </c>
      <c r="L46" s="179">
        <f>J46/I46*100</f>
        <v>58.7</v>
      </c>
    </row>
    <row r="47" spans="1:12" s="90" customFormat="1" ht="12.75" customHeight="1">
      <c r="A47" s="738"/>
      <c r="B47" s="175" t="s">
        <v>758</v>
      </c>
      <c r="C47" s="176">
        <v>2684.1</v>
      </c>
      <c r="D47" s="176">
        <v>1331.2</v>
      </c>
      <c r="E47" s="176">
        <v>1331.2</v>
      </c>
      <c r="F47" s="176">
        <f t="shared" si="4"/>
        <v>49.6</v>
      </c>
      <c r="G47" s="177">
        <f t="shared" si="5"/>
        <v>100</v>
      </c>
      <c r="H47" s="484"/>
      <c r="I47" s="178"/>
      <c r="J47" s="178"/>
      <c r="K47" s="178"/>
      <c r="L47" s="179"/>
    </row>
    <row r="48" spans="1:12" s="90" customFormat="1" ht="12.75" customHeight="1">
      <c r="A48" s="738"/>
      <c r="B48" s="180" t="s">
        <v>759</v>
      </c>
      <c r="C48" s="176">
        <v>811.6</v>
      </c>
      <c r="D48" s="176">
        <v>510.7</v>
      </c>
      <c r="E48" s="176">
        <v>513</v>
      </c>
      <c r="F48" s="176">
        <f t="shared" si="4"/>
        <v>63.2</v>
      </c>
      <c r="G48" s="177">
        <f t="shared" si="5"/>
        <v>100.5</v>
      </c>
      <c r="H48" s="484">
        <v>811.6</v>
      </c>
      <c r="I48" s="178">
        <v>510.7</v>
      </c>
      <c r="J48" s="178">
        <v>509.1</v>
      </c>
      <c r="K48" s="178">
        <f>J48/H48*100</f>
        <v>62.7</v>
      </c>
      <c r="L48" s="179">
        <f>J48/I48*100</f>
        <v>99.7</v>
      </c>
    </row>
    <row r="49" spans="1:12" s="90" customFormat="1" ht="14.25" customHeight="1">
      <c r="A49" s="739"/>
      <c r="B49" s="180" t="s">
        <v>760</v>
      </c>
      <c r="C49" s="176">
        <f>H45-(C46+C47+C48)</f>
        <v>2406.9</v>
      </c>
      <c r="D49" s="176">
        <f>I45-(D46+D47+D48)</f>
        <v>1935.8</v>
      </c>
      <c r="E49" s="176">
        <f>J45-(E46+E47+E48)</f>
        <v>2287.7</v>
      </c>
      <c r="F49" s="176">
        <f t="shared" si="4"/>
        <v>95</v>
      </c>
      <c r="G49" s="177">
        <f t="shared" si="5"/>
        <v>118.2</v>
      </c>
      <c r="H49" s="484"/>
      <c r="I49" s="178"/>
      <c r="J49" s="178"/>
      <c r="K49" s="178"/>
      <c r="L49" s="179"/>
    </row>
    <row r="50" spans="1:12" s="174" customFormat="1" ht="11.25" customHeight="1">
      <c r="A50" s="737">
        <v>9</v>
      </c>
      <c r="B50" s="169" t="s">
        <v>221</v>
      </c>
      <c r="C50" s="170">
        <f>C51+C52+C53</f>
        <v>5110</v>
      </c>
      <c r="D50" s="170">
        <f>D51+D52+D53</f>
        <v>2633</v>
      </c>
      <c r="E50" s="170">
        <f>E51+E52+E53</f>
        <v>2526</v>
      </c>
      <c r="F50" s="170">
        <f t="shared" si="4"/>
        <v>49.4</v>
      </c>
      <c r="G50" s="171">
        <f t="shared" si="5"/>
        <v>95.9</v>
      </c>
      <c r="H50" s="483">
        <f>H51+H52+H53+H54</f>
        <v>5258</v>
      </c>
      <c r="I50" s="172">
        <f>I51+I52+I53+I54</f>
        <v>2441.3</v>
      </c>
      <c r="J50" s="172">
        <f>J51+J52+J53+J54</f>
        <v>2278.9</v>
      </c>
      <c r="K50" s="172">
        <f>J50/H50*100</f>
        <v>43.3</v>
      </c>
      <c r="L50" s="173">
        <f>J50/I50*100</f>
        <v>93.3</v>
      </c>
    </row>
    <row r="51" spans="1:12" s="90" customFormat="1" ht="12.75" customHeight="1">
      <c r="A51" s="738"/>
      <c r="B51" s="175" t="s">
        <v>757</v>
      </c>
      <c r="C51" s="176">
        <v>1584.6</v>
      </c>
      <c r="D51" s="176">
        <v>586.7</v>
      </c>
      <c r="E51" s="176">
        <v>485.4</v>
      </c>
      <c r="F51" s="176">
        <f t="shared" si="4"/>
        <v>30.6</v>
      </c>
      <c r="G51" s="177">
        <f t="shared" si="5"/>
        <v>82.7</v>
      </c>
      <c r="H51" s="484">
        <v>5204</v>
      </c>
      <c r="I51" s="178">
        <v>2403.3</v>
      </c>
      <c r="J51" s="178">
        <v>2246.6</v>
      </c>
      <c r="K51" s="178">
        <f>J51/H51*100</f>
        <v>43.2</v>
      </c>
      <c r="L51" s="179">
        <f>J51/I51*100</f>
        <v>93.5</v>
      </c>
    </row>
    <row r="52" spans="1:12" s="90" customFormat="1" ht="12.75" customHeight="1">
      <c r="A52" s="738"/>
      <c r="B52" s="175" t="s">
        <v>758</v>
      </c>
      <c r="C52" s="176">
        <v>3471.4</v>
      </c>
      <c r="D52" s="176">
        <v>2008.3</v>
      </c>
      <c r="E52" s="176">
        <v>2008.3</v>
      </c>
      <c r="F52" s="176">
        <f t="shared" si="4"/>
        <v>57.9</v>
      </c>
      <c r="G52" s="177">
        <f t="shared" si="5"/>
        <v>100</v>
      </c>
      <c r="H52" s="484"/>
      <c r="I52" s="178"/>
      <c r="J52" s="178"/>
      <c r="K52" s="178"/>
      <c r="L52" s="179"/>
    </row>
    <row r="53" spans="1:12" s="90" customFormat="1" ht="12.75" customHeight="1">
      <c r="A53" s="738"/>
      <c r="B53" s="180" t="s">
        <v>759</v>
      </c>
      <c r="C53" s="176">
        <v>54</v>
      </c>
      <c r="D53" s="176">
        <v>38</v>
      </c>
      <c r="E53" s="176">
        <v>32.3</v>
      </c>
      <c r="F53" s="176">
        <f t="shared" si="4"/>
        <v>59.8</v>
      </c>
      <c r="G53" s="177">
        <f t="shared" si="5"/>
        <v>85</v>
      </c>
      <c r="H53" s="484">
        <v>54</v>
      </c>
      <c r="I53" s="178">
        <v>38</v>
      </c>
      <c r="J53" s="178">
        <v>32.3</v>
      </c>
      <c r="K53" s="178">
        <f>J53/H53*100</f>
        <v>59.8</v>
      </c>
      <c r="L53" s="179">
        <f>J53/I53*100</f>
        <v>85</v>
      </c>
    </row>
    <row r="54" spans="1:12" s="90" customFormat="1" ht="14.25" customHeight="1">
      <c r="A54" s="739"/>
      <c r="B54" s="180" t="s">
        <v>760</v>
      </c>
      <c r="C54" s="176">
        <f>H50-(C51+C52+C53)</f>
        <v>148</v>
      </c>
      <c r="D54" s="176">
        <f>I50-(D51+D52+D53)</f>
        <v>-191.7</v>
      </c>
      <c r="E54" s="176">
        <f>J50-(E51+E52+E53)</f>
        <v>-247.1</v>
      </c>
      <c r="F54" s="176"/>
      <c r="G54" s="177"/>
      <c r="H54" s="484"/>
      <c r="I54" s="178"/>
      <c r="J54" s="178"/>
      <c r="K54" s="178"/>
      <c r="L54" s="179"/>
    </row>
    <row r="55" spans="1:12" s="174" customFormat="1" ht="11.25" customHeight="1">
      <c r="A55" s="737">
        <v>10</v>
      </c>
      <c r="B55" s="169" t="s">
        <v>222</v>
      </c>
      <c r="C55" s="170">
        <f>C56+C57+C58</f>
        <v>6240.6</v>
      </c>
      <c r="D55" s="170">
        <f>D56+D57+D58</f>
        <v>2962.2</v>
      </c>
      <c r="E55" s="170">
        <f>E56+E57+E58</f>
        <v>3723.6</v>
      </c>
      <c r="F55" s="170">
        <f aca="true" t="shared" si="6" ref="F55:F115">E55/C55*100</f>
        <v>59.7</v>
      </c>
      <c r="G55" s="171">
        <f aca="true" t="shared" si="7" ref="G55:G68">E55/D55*100</f>
        <v>125.7</v>
      </c>
      <c r="H55" s="483">
        <f>H56+H57+H58+H59</f>
        <v>15311</v>
      </c>
      <c r="I55" s="172">
        <f>I56+I57+I58+I59</f>
        <v>11552.3</v>
      </c>
      <c r="J55" s="172">
        <f>J56+J57+J58+J59</f>
        <v>9936.6</v>
      </c>
      <c r="K55" s="172">
        <f>J55/H55*100</f>
        <v>64.9</v>
      </c>
      <c r="L55" s="173">
        <f>J55/I55*100</f>
        <v>86</v>
      </c>
    </row>
    <row r="56" spans="1:12" s="90" customFormat="1" ht="12.75" customHeight="1">
      <c r="A56" s="738"/>
      <c r="B56" s="175" t="s">
        <v>757</v>
      </c>
      <c r="C56" s="176">
        <v>3256.5</v>
      </c>
      <c r="D56" s="176">
        <v>1274.9</v>
      </c>
      <c r="E56" s="176">
        <v>2080.2</v>
      </c>
      <c r="F56" s="176">
        <f t="shared" si="6"/>
        <v>63.9</v>
      </c>
      <c r="G56" s="177">
        <f t="shared" si="7"/>
        <v>163.2</v>
      </c>
      <c r="H56" s="484">
        <v>14902.1</v>
      </c>
      <c r="I56" s="178">
        <v>11328.2</v>
      </c>
      <c r="J56" s="178">
        <v>9824.7</v>
      </c>
      <c r="K56" s="178">
        <f>J56/H56*100</f>
        <v>65.9</v>
      </c>
      <c r="L56" s="179">
        <f>J56/I56*100</f>
        <v>86.7</v>
      </c>
    </row>
    <row r="57" spans="1:12" s="90" customFormat="1" ht="12.75" customHeight="1">
      <c r="A57" s="738"/>
      <c r="B57" s="175" t="s">
        <v>758</v>
      </c>
      <c r="C57" s="176">
        <v>2581.3</v>
      </c>
      <c r="D57" s="176">
        <v>1469.3</v>
      </c>
      <c r="E57" s="176">
        <v>1481.6</v>
      </c>
      <c r="F57" s="176">
        <f t="shared" si="6"/>
        <v>57.4</v>
      </c>
      <c r="G57" s="177">
        <f t="shared" si="7"/>
        <v>100.8</v>
      </c>
      <c r="H57" s="484"/>
      <c r="I57" s="178"/>
      <c r="J57" s="178"/>
      <c r="K57" s="178"/>
      <c r="L57" s="179"/>
    </row>
    <row r="58" spans="1:12" s="90" customFormat="1" ht="12.75" customHeight="1">
      <c r="A58" s="738"/>
      <c r="B58" s="180" t="s">
        <v>759</v>
      </c>
      <c r="C58" s="176">
        <v>402.8</v>
      </c>
      <c r="D58" s="176">
        <v>218</v>
      </c>
      <c r="E58" s="176">
        <v>161.8</v>
      </c>
      <c r="F58" s="176">
        <f t="shared" si="6"/>
        <v>40.2</v>
      </c>
      <c r="G58" s="177">
        <f t="shared" si="7"/>
        <v>74.2</v>
      </c>
      <c r="H58" s="484">
        <v>408.9</v>
      </c>
      <c r="I58" s="178">
        <v>224.1</v>
      </c>
      <c r="J58" s="178">
        <v>111.9</v>
      </c>
      <c r="K58" s="178">
        <f>J58/H58*100</f>
        <v>27.4</v>
      </c>
      <c r="L58" s="179">
        <f>J58/I58*100</f>
        <v>49.9</v>
      </c>
    </row>
    <row r="59" spans="1:12" s="90" customFormat="1" ht="15" customHeight="1">
      <c r="A59" s="739"/>
      <c r="B59" s="180" t="s">
        <v>760</v>
      </c>
      <c r="C59" s="176">
        <f>H55-(C56+C57+C58)</f>
        <v>9070.4</v>
      </c>
      <c r="D59" s="176">
        <f>I55-(D56+D57+D58)</f>
        <v>8590.1</v>
      </c>
      <c r="E59" s="176">
        <f>J55-(E56+E57+E58)</f>
        <v>6213</v>
      </c>
      <c r="F59" s="176">
        <f t="shared" si="6"/>
        <v>68.5</v>
      </c>
      <c r="G59" s="177">
        <f t="shared" si="7"/>
        <v>72.3</v>
      </c>
      <c r="H59" s="484"/>
      <c r="I59" s="178"/>
      <c r="J59" s="178"/>
      <c r="K59" s="178"/>
      <c r="L59" s="179"/>
    </row>
    <row r="60" spans="1:12" s="174" customFormat="1" ht="11.25" customHeight="1">
      <c r="A60" s="737">
        <v>11</v>
      </c>
      <c r="B60" s="169" t="s">
        <v>223</v>
      </c>
      <c r="C60" s="181">
        <f>C62+C63+C61</f>
        <v>3794</v>
      </c>
      <c r="D60" s="181">
        <f>D62+D63+D61</f>
        <v>1837.9</v>
      </c>
      <c r="E60" s="181">
        <f>E62+E63+E61</f>
        <v>1777.7</v>
      </c>
      <c r="F60" s="181">
        <f t="shared" si="6"/>
        <v>46.9</v>
      </c>
      <c r="G60" s="184">
        <f t="shared" si="7"/>
        <v>96.7</v>
      </c>
      <c r="H60" s="483">
        <f>H61+H62+H63+H64</f>
        <v>3825</v>
      </c>
      <c r="I60" s="172">
        <f>I61+I62+I63+I64</f>
        <v>1853.3</v>
      </c>
      <c r="J60" s="172">
        <f>J61+J62+J63+J64</f>
        <v>1386.8</v>
      </c>
      <c r="K60" s="172">
        <f>J60/H60*100</f>
        <v>36.3</v>
      </c>
      <c r="L60" s="173">
        <f>J60/I60*100</f>
        <v>74.8</v>
      </c>
    </row>
    <row r="61" spans="1:12" s="90" customFormat="1" ht="12.75" customHeight="1">
      <c r="A61" s="738"/>
      <c r="B61" s="175" t="s">
        <v>757</v>
      </c>
      <c r="C61" s="176">
        <v>2341.3</v>
      </c>
      <c r="D61" s="176">
        <v>1004.8</v>
      </c>
      <c r="E61" s="176">
        <v>944</v>
      </c>
      <c r="F61" s="182">
        <f t="shared" si="6"/>
        <v>40.3</v>
      </c>
      <c r="G61" s="183">
        <f t="shared" si="7"/>
        <v>93.9</v>
      </c>
      <c r="H61" s="484">
        <v>3665.4</v>
      </c>
      <c r="I61" s="178">
        <v>1763.4</v>
      </c>
      <c r="J61" s="178">
        <v>1309</v>
      </c>
      <c r="K61" s="178">
        <f>J61/H61*100</f>
        <v>35.7</v>
      </c>
      <c r="L61" s="179">
        <f>J61/I61*100</f>
        <v>74.2</v>
      </c>
    </row>
    <row r="62" spans="1:12" s="90" customFormat="1" ht="12.75" customHeight="1">
      <c r="A62" s="738"/>
      <c r="B62" s="175" t="s">
        <v>758</v>
      </c>
      <c r="C62" s="176">
        <v>1299.1</v>
      </c>
      <c r="D62" s="176">
        <v>749.2</v>
      </c>
      <c r="E62" s="176">
        <v>749.2</v>
      </c>
      <c r="F62" s="176">
        <f t="shared" si="6"/>
        <v>57.7</v>
      </c>
      <c r="G62" s="177">
        <f t="shared" si="7"/>
        <v>100</v>
      </c>
      <c r="H62" s="484"/>
      <c r="I62" s="178"/>
      <c r="J62" s="178"/>
      <c r="K62" s="178"/>
      <c r="L62" s="179"/>
    </row>
    <row r="63" spans="1:12" s="90" customFormat="1" ht="12.75" customHeight="1">
      <c r="A63" s="738"/>
      <c r="B63" s="180" t="s">
        <v>759</v>
      </c>
      <c r="C63" s="176">
        <v>153.6</v>
      </c>
      <c r="D63" s="176">
        <v>83.9</v>
      </c>
      <c r="E63" s="176">
        <v>84.5</v>
      </c>
      <c r="F63" s="176">
        <f t="shared" si="6"/>
        <v>55</v>
      </c>
      <c r="G63" s="177">
        <f t="shared" si="7"/>
        <v>100.7</v>
      </c>
      <c r="H63" s="484">
        <v>159.6</v>
      </c>
      <c r="I63" s="178">
        <v>89.9</v>
      </c>
      <c r="J63" s="178">
        <v>77.8</v>
      </c>
      <c r="K63" s="178">
        <f>J63/H63*100</f>
        <v>48.7</v>
      </c>
      <c r="L63" s="179">
        <f>J63/I63*100</f>
        <v>86.5</v>
      </c>
    </row>
    <row r="64" spans="1:12" s="90" customFormat="1" ht="13.5" customHeight="1">
      <c r="A64" s="739"/>
      <c r="B64" s="180" t="s">
        <v>760</v>
      </c>
      <c r="C64" s="176">
        <f>H60-(C61+C62+C63)</f>
        <v>31</v>
      </c>
      <c r="D64" s="176">
        <f>I60-(D61+D62+D63)</f>
        <v>15.4</v>
      </c>
      <c r="E64" s="176">
        <f>J60-(E61+E62+E63)</f>
        <v>-390.9</v>
      </c>
      <c r="F64" s="176">
        <f t="shared" si="6"/>
        <v>-1261</v>
      </c>
      <c r="G64" s="177">
        <f t="shared" si="7"/>
        <v>-2538.3</v>
      </c>
      <c r="H64" s="484"/>
      <c r="I64" s="178"/>
      <c r="J64" s="178"/>
      <c r="K64" s="178"/>
      <c r="L64" s="179"/>
    </row>
    <row r="65" spans="1:12" s="174" customFormat="1" ht="11.25" customHeight="1">
      <c r="A65" s="737">
        <v>12</v>
      </c>
      <c r="B65" s="169" t="s">
        <v>224</v>
      </c>
      <c r="C65" s="170">
        <f>C66+C67+C68</f>
        <v>3472.5</v>
      </c>
      <c r="D65" s="170">
        <f>D66+D67+D68</f>
        <v>1623.9</v>
      </c>
      <c r="E65" s="170">
        <f>E66+E67+E68</f>
        <v>1404.3</v>
      </c>
      <c r="F65" s="181">
        <f t="shared" si="6"/>
        <v>40.4</v>
      </c>
      <c r="G65" s="184">
        <f t="shared" si="7"/>
        <v>86.5</v>
      </c>
      <c r="H65" s="483">
        <f>H66+H67+H68+H69</f>
        <v>3754.5</v>
      </c>
      <c r="I65" s="172">
        <f>I66+I67+I68+I69</f>
        <v>1897.9</v>
      </c>
      <c r="J65" s="172">
        <f>J66+J67+J68+J69</f>
        <v>1515.6</v>
      </c>
      <c r="K65" s="172">
        <f>J65/H65*100</f>
        <v>40.4</v>
      </c>
      <c r="L65" s="173">
        <f>J65/I65*100</f>
        <v>79.9</v>
      </c>
    </row>
    <row r="66" spans="1:12" s="90" customFormat="1" ht="12.75" customHeight="1">
      <c r="A66" s="738"/>
      <c r="B66" s="175" t="s">
        <v>757</v>
      </c>
      <c r="C66" s="176">
        <v>1560.2</v>
      </c>
      <c r="D66" s="176">
        <v>520.6</v>
      </c>
      <c r="E66" s="176">
        <v>338.6</v>
      </c>
      <c r="F66" s="182">
        <f t="shared" si="6"/>
        <v>21.7</v>
      </c>
      <c r="G66" s="183">
        <f t="shared" si="7"/>
        <v>65</v>
      </c>
      <c r="H66" s="484">
        <v>3624.4</v>
      </c>
      <c r="I66" s="178">
        <v>1830.8</v>
      </c>
      <c r="J66" s="178">
        <v>1489.4</v>
      </c>
      <c r="K66" s="178">
        <f>J66/H66*100</f>
        <v>41.1</v>
      </c>
      <c r="L66" s="179">
        <f>J66/I66*100</f>
        <v>81.4</v>
      </c>
    </row>
    <row r="67" spans="1:12" s="90" customFormat="1" ht="12.75" customHeight="1">
      <c r="A67" s="738"/>
      <c r="B67" s="175" t="s">
        <v>758</v>
      </c>
      <c r="C67" s="176">
        <v>1782.2</v>
      </c>
      <c r="D67" s="176">
        <v>1036.2</v>
      </c>
      <c r="E67" s="176">
        <v>1036.2</v>
      </c>
      <c r="F67" s="176">
        <f t="shared" si="6"/>
        <v>58.1</v>
      </c>
      <c r="G67" s="177">
        <f t="shared" si="7"/>
        <v>100</v>
      </c>
      <c r="H67" s="484"/>
      <c r="I67" s="178"/>
      <c r="J67" s="178"/>
      <c r="K67" s="178"/>
      <c r="L67" s="179"/>
    </row>
    <row r="68" spans="1:12" s="90" customFormat="1" ht="12.75" customHeight="1">
      <c r="A68" s="738"/>
      <c r="B68" s="180" t="s">
        <v>759</v>
      </c>
      <c r="C68" s="176">
        <v>130.1</v>
      </c>
      <c r="D68" s="176">
        <v>67.1</v>
      </c>
      <c r="E68" s="176">
        <v>29.5</v>
      </c>
      <c r="F68" s="176">
        <f t="shared" si="6"/>
        <v>22.7</v>
      </c>
      <c r="G68" s="177">
        <f t="shared" si="7"/>
        <v>44</v>
      </c>
      <c r="H68" s="484">
        <v>130.1</v>
      </c>
      <c r="I68" s="178">
        <v>67.1</v>
      </c>
      <c r="J68" s="178">
        <v>26.2</v>
      </c>
      <c r="K68" s="178">
        <f>J68/H68*100</f>
        <v>20.1</v>
      </c>
      <c r="L68" s="179">
        <f>J68/I68*100</f>
        <v>39</v>
      </c>
    </row>
    <row r="69" spans="1:12" s="90" customFormat="1" ht="15" customHeight="1">
      <c r="A69" s="739"/>
      <c r="B69" s="180" t="s">
        <v>760</v>
      </c>
      <c r="C69" s="176">
        <f>H65-(C66+C67+C68)</f>
        <v>282</v>
      </c>
      <c r="D69" s="176">
        <f>I65-(D66+D67+D68)</f>
        <v>274</v>
      </c>
      <c r="E69" s="176">
        <f>J65-(E66+E67+E68)</f>
        <v>111.3</v>
      </c>
      <c r="F69" s="176">
        <f t="shared" si="6"/>
        <v>39.5</v>
      </c>
      <c r="G69" s="177"/>
      <c r="H69" s="484"/>
      <c r="I69" s="178"/>
      <c r="J69" s="178"/>
      <c r="K69" s="178"/>
      <c r="L69" s="179"/>
    </row>
    <row r="70" spans="1:12" s="174" customFormat="1" ht="11.25" customHeight="1">
      <c r="A70" s="737">
        <v>13</v>
      </c>
      <c r="B70" s="169" t="s">
        <v>225</v>
      </c>
      <c r="C70" s="170">
        <f>C71+C72+C73</f>
        <v>6797</v>
      </c>
      <c r="D70" s="170">
        <f>D71+D72+D73+0.1</f>
        <v>4682.1</v>
      </c>
      <c r="E70" s="170">
        <f>E71+E72+E73</f>
        <v>8713.3</v>
      </c>
      <c r="F70" s="170">
        <f t="shared" si="6"/>
        <v>128.2</v>
      </c>
      <c r="G70" s="171">
        <f aca="true" t="shared" si="8" ref="G70:G83">E70/D70*100</f>
        <v>186.1</v>
      </c>
      <c r="H70" s="483">
        <f>H71+H72+H73+H74</f>
        <v>7768.1</v>
      </c>
      <c r="I70" s="172">
        <f>I71+I72+I73+I74</f>
        <v>3707.7</v>
      </c>
      <c r="J70" s="172">
        <f>J71+J72+J73+J74</f>
        <v>1997.3</v>
      </c>
      <c r="K70" s="172">
        <f>J70/H70*100</f>
        <v>25.7</v>
      </c>
      <c r="L70" s="173">
        <f>J70/I70*100</f>
        <v>53.9</v>
      </c>
    </row>
    <row r="71" spans="1:12" s="90" customFormat="1" ht="12.75" customHeight="1">
      <c r="A71" s="738"/>
      <c r="B71" s="175" t="s">
        <v>757</v>
      </c>
      <c r="C71" s="176">
        <v>4705.2</v>
      </c>
      <c r="D71" s="176">
        <v>3494.8</v>
      </c>
      <c r="E71" s="176">
        <v>7531.1</v>
      </c>
      <c r="F71" s="176">
        <f t="shared" si="6"/>
        <v>160.1</v>
      </c>
      <c r="G71" s="177">
        <f t="shared" si="8"/>
        <v>215.5</v>
      </c>
      <c r="H71" s="484">
        <v>7667.7</v>
      </c>
      <c r="I71" s="178">
        <v>3654.1</v>
      </c>
      <c r="J71" s="178">
        <v>1967</v>
      </c>
      <c r="K71" s="185">
        <f>J71/H71*100</f>
        <v>25.7</v>
      </c>
      <c r="L71" s="179">
        <f>J71/I71*100</f>
        <v>53.8</v>
      </c>
    </row>
    <row r="72" spans="1:12" s="90" customFormat="1" ht="12.75" customHeight="1">
      <c r="A72" s="738"/>
      <c r="B72" s="175" t="s">
        <v>758</v>
      </c>
      <c r="C72" s="176">
        <v>1994.6</v>
      </c>
      <c r="D72" s="176">
        <v>1136.7</v>
      </c>
      <c r="E72" s="176">
        <v>1136.7</v>
      </c>
      <c r="F72" s="176">
        <f t="shared" si="6"/>
        <v>57</v>
      </c>
      <c r="G72" s="177">
        <f t="shared" si="8"/>
        <v>100</v>
      </c>
      <c r="H72" s="484"/>
      <c r="I72" s="178"/>
      <c r="J72" s="178"/>
      <c r="K72" s="185"/>
      <c r="L72" s="179"/>
    </row>
    <row r="73" spans="1:12" s="90" customFormat="1" ht="12.75" customHeight="1">
      <c r="A73" s="738"/>
      <c r="B73" s="180" t="s">
        <v>759</v>
      </c>
      <c r="C73" s="176">
        <v>97.2</v>
      </c>
      <c r="D73" s="176">
        <v>50.5</v>
      </c>
      <c r="E73" s="176">
        <v>45.5</v>
      </c>
      <c r="F73" s="176">
        <f t="shared" si="6"/>
        <v>46.8</v>
      </c>
      <c r="G73" s="177">
        <f t="shared" si="8"/>
        <v>90.1</v>
      </c>
      <c r="H73" s="484">
        <v>100.4</v>
      </c>
      <c r="I73" s="178">
        <v>53.6</v>
      </c>
      <c r="J73" s="178">
        <v>30.3</v>
      </c>
      <c r="K73" s="185">
        <f>J73/H73*100</f>
        <v>30.2</v>
      </c>
      <c r="L73" s="179">
        <f>J73/I73*100</f>
        <v>56.5</v>
      </c>
    </row>
    <row r="74" spans="1:12" s="90" customFormat="1" ht="16.5" customHeight="1">
      <c r="A74" s="739"/>
      <c r="B74" s="180" t="s">
        <v>760</v>
      </c>
      <c r="C74" s="176">
        <f>H70-(C71+C72+C73)</f>
        <v>971.1</v>
      </c>
      <c r="D74" s="176">
        <f>I70-(D71+D72+D73)</f>
        <v>-974.3</v>
      </c>
      <c r="E74" s="176">
        <f>J70-(E71+E72+E73)</f>
        <v>-6716</v>
      </c>
      <c r="F74" s="176">
        <f t="shared" si="6"/>
        <v>-691.6</v>
      </c>
      <c r="G74" s="177">
        <f t="shared" si="8"/>
        <v>689.3</v>
      </c>
      <c r="H74" s="484"/>
      <c r="I74" s="178"/>
      <c r="J74" s="178"/>
      <c r="K74" s="178"/>
      <c r="L74" s="179"/>
    </row>
    <row r="75" spans="1:12" s="174" customFormat="1" ht="12.75" customHeight="1">
      <c r="A75" s="737">
        <v>14</v>
      </c>
      <c r="B75" s="169" t="s">
        <v>226</v>
      </c>
      <c r="C75" s="170">
        <f>C76+C77+C78</f>
        <v>5583.9</v>
      </c>
      <c r="D75" s="170">
        <f>D76+D77+D78</f>
        <v>2858.2</v>
      </c>
      <c r="E75" s="170">
        <f>E76+E77+E78</f>
        <v>2643.7</v>
      </c>
      <c r="F75" s="170">
        <f t="shared" si="6"/>
        <v>47.3</v>
      </c>
      <c r="G75" s="171">
        <f t="shared" si="8"/>
        <v>92.5</v>
      </c>
      <c r="H75" s="483">
        <f>H76+H77+H78+H79</f>
        <v>5651</v>
      </c>
      <c r="I75" s="172">
        <f>I76+I77+I78+I79</f>
        <v>2881.1</v>
      </c>
      <c r="J75" s="172">
        <f>J76+J77+J78+J79</f>
        <v>1657.6</v>
      </c>
      <c r="K75" s="172">
        <f>J75/H75*100</f>
        <v>29.3</v>
      </c>
      <c r="L75" s="173">
        <f>J75/I75*100</f>
        <v>57.5</v>
      </c>
    </row>
    <row r="76" spans="1:12" s="90" customFormat="1" ht="12.75" customHeight="1">
      <c r="A76" s="738"/>
      <c r="B76" s="175" t="s">
        <v>757</v>
      </c>
      <c r="C76" s="176">
        <v>2319.4</v>
      </c>
      <c r="D76" s="176">
        <v>988.8</v>
      </c>
      <c r="E76" s="176">
        <v>809.9</v>
      </c>
      <c r="F76" s="176">
        <f t="shared" si="6"/>
        <v>34.9</v>
      </c>
      <c r="G76" s="177">
        <f t="shared" si="8"/>
        <v>81.9</v>
      </c>
      <c r="H76" s="484">
        <v>5572</v>
      </c>
      <c r="I76" s="178">
        <v>2841.1</v>
      </c>
      <c r="J76" s="178">
        <v>1657.6</v>
      </c>
      <c r="K76" s="172">
        <f>J76/H76*100</f>
        <v>29.7</v>
      </c>
      <c r="L76" s="179">
        <f>J76/I76*100</f>
        <v>58.3</v>
      </c>
    </row>
    <row r="77" spans="1:12" s="90" customFormat="1" ht="12.75" customHeight="1">
      <c r="A77" s="738"/>
      <c r="B77" s="175" t="s">
        <v>758</v>
      </c>
      <c r="C77" s="176">
        <v>3189.9</v>
      </c>
      <c r="D77" s="176">
        <v>1833.8</v>
      </c>
      <c r="E77" s="176">
        <v>1833.8</v>
      </c>
      <c r="F77" s="176">
        <f t="shared" si="6"/>
        <v>57.5</v>
      </c>
      <c r="G77" s="177">
        <f t="shared" si="8"/>
        <v>100</v>
      </c>
      <c r="H77" s="484"/>
      <c r="I77" s="178"/>
      <c r="J77" s="178"/>
      <c r="K77" s="178"/>
      <c r="L77" s="179"/>
    </row>
    <row r="78" spans="1:12" s="90" customFormat="1" ht="12.75" customHeight="1">
      <c r="A78" s="738"/>
      <c r="B78" s="180" t="s">
        <v>759</v>
      </c>
      <c r="C78" s="176">
        <v>74.6</v>
      </c>
      <c r="D78" s="176">
        <v>35.6</v>
      </c>
      <c r="E78" s="176"/>
      <c r="F78" s="176">
        <f t="shared" si="6"/>
        <v>0</v>
      </c>
      <c r="G78" s="177">
        <f t="shared" si="8"/>
        <v>0</v>
      </c>
      <c r="H78" s="484">
        <v>79</v>
      </c>
      <c r="I78" s="178">
        <v>40</v>
      </c>
      <c r="J78" s="178"/>
      <c r="K78" s="178"/>
      <c r="L78" s="179">
        <f>J78/I78*100</f>
        <v>0</v>
      </c>
    </row>
    <row r="79" spans="1:12" s="90" customFormat="1" ht="15.75" customHeight="1">
      <c r="A79" s="739"/>
      <c r="B79" s="180" t="s">
        <v>760</v>
      </c>
      <c r="C79" s="176">
        <f>H75-(C78+C77+C76)</f>
        <v>67.1</v>
      </c>
      <c r="D79" s="176">
        <f>I75-(D78+D77+D76)</f>
        <v>22.9</v>
      </c>
      <c r="E79" s="176">
        <f>J75-(E78+E77+E76)</f>
        <v>-986.1</v>
      </c>
      <c r="F79" s="176">
        <f t="shared" si="6"/>
        <v>-1469.6</v>
      </c>
      <c r="G79" s="177">
        <f t="shared" si="8"/>
        <v>-4306.1</v>
      </c>
      <c r="H79" s="484"/>
      <c r="I79" s="178"/>
      <c r="J79" s="178"/>
      <c r="K79" s="178"/>
      <c r="L79" s="179"/>
    </row>
    <row r="80" spans="1:12" s="90" customFormat="1" ht="12">
      <c r="A80" s="159">
        <v>1</v>
      </c>
      <c r="B80" s="88">
        <v>2</v>
      </c>
      <c r="C80" s="165">
        <v>3</v>
      </c>
      <c r="D80" s="165">
        <v>4</v>
      </c>
      <c r="E80" s="165">
        <v>5</v>
      </c>
      <c r="F80" s="166">
        <v>6</v>
      </c>
      <c r="G80" s="167">
        <v>7</v>
      </c>
      <c r="H80" s="484">
        <v>8</v>
      </c>
      <c r="I80" s="178">
        <v>9</v>
      </c>
      <c r="J80" s="178">
        <v>10</v>
      </c>
      <c r="K80" s="178">
        <v>11</v>
      </c>
      <c r="L80" s="179">
        <v>12</v>
      </c>
    </row>
    <row r="81" spans="1:12" s="174" customFormat="1" ht="13.5" customHeight="1">
      <c r="A81" s="737">
        <v>15</v>
      </c>
      <c r="B81" s="169" t="s">
        <v>227</v>
      </c>
      <c r="C81" s="170">
        <f>C82+C83+C84</f>
        <v>7309.7</v>
      </c>
      <c r="D81" s="170">
        <f>D82+D83+D84</f>
        <v>3275.9</v>
      </c>
      <c r="E81" s="170">
        <f>E82+E83+E84</f>
        <v>3388.5</v>
      </c>
      <c r="F81" s="170">
        <f t="shared" si="6"/>
        <v>46.4</v>
      </c>
      <c r="G81" s="171">
        <f t="shared" si="8"/>
        <v>103.4</v>
      </c>
      <c r="H81" s="483">
        <f>H82+H83+H84+H85</f>
        <v>7637.3</v>
      </c>
      <c r="I81" s="172">
        <f>I82+I83+I84+I85</f>
        <v>4418.5</v>
      </c>
      <c r="J81" s="172">
        <f>J82+J83+J84+J85</f>
        <v>4284.1</v>
      </c>
      <c r="K81" s="172">
        <f>J81/H81*100</f>
        <v>56.1</v>
      </c>
      <c r="L81" s="173">
        <f>J81/I81*100</f>
        <v>97</v>
      </c>
    </row>
    <row r="82" spans="1:12" s="90" customFormat="1" ht="12.75" customHeight="1">
      <c r="A82" s="738"/>
      <c r="B82" s="175" t="s">
        <v>757</v>
      </c>
      <c r="C82" s="176">
        <v>5386.7</v>
      </c>
      <c r="D82" s="176">
        <v>1659.1</v>
      </c>
      <c r="E82" s="176">
        <v>1762.4</v>
      </c>
      <c r="F82" s="176">
        <f t="shared" si="6"/>
        <v>32.7</v>
      </c>
      <c r="G82" s="177">
        <f t="shared" si="8"/>
        <v>106.2</v>
      </c>
      <c r="H82" s="484">
        <v>7423.7</v>
      </c>
      <c r="I82" s="178">
        <v>4304.9</v>
      </c>
      <c r="J82" s="178">
        <v>4208.8</v>
      </c>
      <c r="K82" s="172">
        <f>J82/H82*100</f>
        <v>56.7</v>
      </c>
      <c r="L82" s="179">
        <f>J82/I82*100</f>
        <v>97.8</v>
      </c>
    </row>
    <row r="83" spans="1:12" s="90" customFormat="1" ht="12.75" customHeight="1">
      <c r="A83" s="738"/>
      <c r="B83" s="175" t="s">
        <v>758</v>
      </c>
      <c r="C83" s="176">
        <v>1712</v>
      </c>
      <c r="D83" s="176">
        <v>1505.8</v>
      </c>
      <c r="E83" s="176">
        <v>1505.8</v>
      </c>
      <c r="F83" s="176">
        <f t="shared" si="6"/>
        <v>88</v>
      </c>
      <c r="G83" s="177">
        <f t="shared" si="8"/>
        <v>100</v>
      </c>
      <c r="H83" s="484"/>
      <c r="I83" s="178"/>
      <c r="J83" s="178"/>
      <c r="K83" s="178"/>
      <c r="L83" s="179"/>
    </row>
    <row r="84" spans="1:12" s="90" customFormat="1" ht="12.75" customHeight="1">
      <c r="A84" s="738"/>
      <c r="B84" s="180" t="s">
        <v>759</v>
      </c>
      <c r="C84" s="176">
        <v>211</v>
      </c>
      <c r="D84" s="176">
        <v>111</v>
      </c>
      <c r="E84" s="176">
        <v>120.3</v>
      </c>
      <c r="F84" s="176">
        <f t="shared" si="6"/>
        <v>57</v>
      </c>
      <c r="G84" s="176">
        <f>F84/D84*100</f>
        <v>51.4</v>
      </c>
      <c r="H84" s="484">
        <v>213.6</v>
      </c>
      <c r="I84" s="178">
        <v>113.6</v>
      </c>
      <c r="J84" s="178">
        <v>75.3</v>
      </c>
      <c r="K84" s="178"/>
      <c r="L84" s="179">
        <f>J84/I84*100</f>
        <v>66.3</v>
      </c>
    </row>
    <row r="85" spans="1:12" s="90" customFormat="1" ht="15.75" customHeight="1">
      <c r="A85" s="739"/>
      <c r="B85" s="180" t="s">
        <v>760</v>
      </c>
      <c r="C85" s="176">
        <f>H81-(C82+C83+C84)</f>
        <v>327.6</v>
      </c>
      <c r="D85" s="176">
        <f>I81-(D82+D83+D84)</f>
        <v>1142.6</v>
      </c>
      <c r="E85" s="176">
        <f>J81-(E82+E83+E84)</f>
        <v>895.6</v>
      </c>
      <c r="F85" s="176">
        <f t="shared" si="6"/>
        <v>273.4</v>
      </c>
      <c r="G85" s="176">
        <f>F85/D85*100</f>
        <v>23.9</v>
      </c>
      <c r="H85" s="484"/>
      <c r="I85" s="178"/>
      <c r="J85" s="178"/>
      <c r="K85" s="178"/>
      <c r="L85" s="179"/>
    </row>
    <row r="86" spans="1:12" s="174" customFormat="1" ht="11.25" customHeight="1">
      <c r="A86" s="737">
        <v>16</v>
      </c>
      <c r="B86" s="169" t="s">
        <v>228</v>
      </c>
      <c r="C86" s="170">
        <f>C87+C88+C89</f>
        <v>6136.2</v>
      </c>
      <c r="D86" s="170">
        <f>D87+D88+D89</f>
        <v>2848.3</v>
      </c>
      <c r="E86" s="170">
        <f>E87+E88+E89</f>
        <v>3024.3</v>
      </c>
      <c r="F86" s="170">
        <f t="shared" si="6"/>
        <v>49.3</v>
      </c>
      <c r="G86" s="171">
        <f>E86/D86*100</f>
        <v>106.2</v>
      </c>
      <c r="H86" s="483">
        <f>H87+H88+H89+H90</f>
        <v>6807.1</v>
      </c>
      <c r="I86" s="172">
        <f>I87+I88+I89+I90</f>
        <v>3560.1</v>
      </c>
      <c r="J86" s="172">
        <f>J87+J88+J89+J90</f>
        <v>3415</v>
      </c>
      <c r="K86" s="172">
        <f>J86/H86*100</f>
        <v>50.2</v>
      </c>
      <c r="L86" s="173">
        <f>J86/I86*100</f>
        <v>95.9</v>
      </c>
    </row>
    <row r="87" spans="1:12" s="90" customFormat="1" ht="12.75" customHeight="1">
      <c r="A87" s="738"/>
      <c r="B87" s="175" t="s">
        <v>757</v>
      </c>
      <c r="C87" s="176">
        <v>2803.2</v>
      </c>
      <c r="D87" s="176">
        <v>1358.2</v>
      </c>
      <c r="E87" s="176">
        <v>1540.7</v>
      </c>
      <c r="F87" s="176">
        <f t="shared" si="6"/>
        <v>55</v>
      </c>
      <c r="G87" s="177">
        <f>E87/D87*100</f>
        <v>113.4</v>
      </c>
      <c r="H87" s="484">
        <v>6726.1</v>
      </c>
      <c r="I87" s="178">
        <v>3517.4</v>
      </c>
      <c r="J87" s="178">
        <v>3380.3</v>
      </c>
      <c r="K87" s="185">
        <f>J87/H87*100</f>
        <v>50.3</v>
      </c>
      <c r="L87" s="179">
        <f>J87/I87*100</f>
        <v>96.1</v>
      </c>
    </row>
    <row r="88" spans="1:12" s="90" customFormat="1" ht="12.75" customHeight="1">
      <c r="A88" s="738"/>
      <c r="B88" s="175" t="s">
        <v>758</v>
      </c>
      <c r="C88" s="176">
        <v>3253</v>
      </c>
      <c r="D88" s="176">
        <v>1448.4</v>
      </c>
      <c r="E88" s="176">
        <v>1448.4</v>
      </c>
      <c r="F88" s="176">
        <f t="shared" si="6"/>
        <v>44.5</v>
      </c>
      <c r="G88" s="177">
        <f>E88/D88*100</f>
        <v>100</v>
      </c>
      <c r="H88" s="484"/>
      <c r="I88" s="178"/>
      <c r="J88" s="178"/>
      <c r="K88" s="185"/>
      <c r="L88" s="179"/>
    </row>
    <row r="89" spans="1:12" s="90" customFormat="1" ht="12.75" customHeight="1">
      <c r="A89" s="738"/>
      <c r="B89" s="180" t="s">
        <v>759</v>
      </c>
      <c r="C89" s="176">
        <v>80</v>
      </c>
      <c r="D89" s="176">
        <v>41.7</v>
      </c>
      <c r="E89" s="176">
        <v>35.2</v>
      </c>
      <c r="F89" s="176">
        <f t="shared" si="6"/>
        <v>44</v>
      </c>
      <c r="G89" s="176">
        <f>F89/D89*100</f>
        <v>105.5</v>
      </c>
      <c r="H89" s="484">
        <v>81</v>
      </c>
      <c r="I89" s="178">
        <v>42.7</v>
      </c>
      <c r="J89" s="178">
        <v>34.7</v>
      </c>
      <c r="K89" s="185">
        <f>J89/H89*100</f>
        <v>42.8</v>
      </c>
      <c r="L89" s="179">
        <f>J89/I89*100</f>
        <v>81.3</v>
      </c>
    </row>
    <row r="90" spans="1:12" s="90" customFormat="1" ht="12.75" customHeight="1">
      <c r="A90" s="739"/>
      <c r="B90" s="180" t="s">
        <v>760</v>
      </c>
      <c r="C90" s="176">
        <f>H86-(C87+C88+C89)</f>
        <v>670.9</v>
      </c>
      <c r="D90" s="176">
        <f>I86-(D87+D88+D89)</f>
        <v>711.8</v>
      </c>
      <c r="E90" s="176">
        <f>J86-(E87+E88+E89)</f>
        <v>390.7</v>
      </c>
      <c r="F90" s="176">
        <f t="shared" si="6"/>
        <v>58.2</v>
      </c>
      <c r="G90" s="176">
        <f>F90/D90*100</f>
        <v>8.2</v>
      </c>
      <c r="H90" s="484"/>
      <c r="I90" s="178"/>
      <c r="J90" s="178"/>
      <c r="K90" s="178"/>
      <c r="L90" s="179"/>
    </row>
    <row r="91" spans="1:12" s="174" customFormat="1" ht="11.25" customHeight="1">
      <c r="A91" s="737">
        <v>17</v>
      </c>
      <c r="B91" s="169" t="s">
        <v>229</v>
      </c>
      <c r="C91" s="170">
        <f>C92+C93+C94</f>
        <v>3792.2</v>
      </c>
      <c r="D91" s="170">
        <f>D92+D93+D94</f>
        <v>2109.1</v>
      </c>
      <c r="E91" s="170">
        <f>E92+E93+E94</f>
        <v>2142.5</v>
      </c>
      <c r="F91" s="170">
        <f t="shared" si="6"/>
        <v>56.5</v>
      </c>
      <c r="G91" s="171">
        <f aca="true" t="shared" si="9" ref="G91:G115">E91/D91*100</f>
        <v>101.6</v>
      </c>
      <c r="H91" s="483">
        <f>H92+H93+H94+H95</f>
        <v>3831.2</v>
      </c>
      <c r="I91" s="172">
        <f>I92+I93+I94+I95</f>
        <v>1878.6</v>
      </c>
      <c r="J91" s="172">
        <f>J92+J93+J94+J95</f>
        <v>1746.4</v>
      </c>
      <c r="K91" s="172">
        <f>J91/H91*100</f>
        <v>45.6</v>
      </c>
      <c r="L91" s="173">
        <f>J91/I91*100</f>
        <v>93</v>
      </c>
    </row>
    <row r="92" spans="1:12" s="90" customFormat="1" ht="12.75" customHeight="1">
      <c r="A92" s="738"/>
      <c r="B92" s="175" t="s">
        <v>757</v>
      </c>
      <c r="C92" s="176">
        <v>453.4</v>
      </c>
      <c r="D92" s="176">
        <v>159.2</v>
      </c>
      <c r="E92" s="176">
        <v>135.2</v>
      </c>
      <c r="F92" s="176">
        <f t="shared" si="6"/>
        <v>29.8</v>
      </c>
      <c r="G92" s="177">
        <f t="shared" si="9"/>
        <v>84.9</v>
      </c>
      <c r="H92" s="484">
        <v>3797.6</v>
      </c>
      <c r="I92" s="178">
        <v>1861.8</v>
      </c>
      <c r="J92" s="178">
        <v>1742.4</v>
      </c>
      <c r="K92" s="185">
        <f>J92/H92*100</f>
        <v>45.9</v>
      </c>
      <c r="L92" s="179">
        <f>J92/I92*100</f>
        <v>93.6</v>
      </c>
    </row>
    <row r="93" spans="1:12" s="90" customFormat="1" ht="12.75" customHeight="1">
      <c r="A93" s="738"/>
      <c r="B93" s="175" t="s">
        <v>758</v>
      </c>
      <c r="C93" s="176">
        <v>3305.2</v>
      </c>
      <c r="D93" s="176">
        <v>1933.1</v>
      </c>
      <c r="E93" s="176">
        <v>2003.3</v>
      </c>
      <c r="F93" s="176">
        <f t="shared" si="6"/>
        <v>60.6</v>
      </c>
      <c r="G93" s="177">
        <f t="shared" si="9"/>
        <v>103.6</v>
      </c>
      <c r="H93" s="484"/>
      <c r="I93" s="178"/>
      <c r="J93" s="178"/>
      <c r="K93" s="185"/>
      <c r="L93" s="179"/>
    </row>
    <row r="94" spans="1:12" s="90" customFormat="1" ht="12.75" customHeight="1">
      <c r="A94" s="738"/>
      <c r="B94" s="180" t="s">
        <v>759</v>
      </c>
      <c r="C94" s="176">
        <v>33.6</v>
      </c>
      <c r="D94" s="176">
        <v>16.8</v>
      </c>
      <c r="E94" s="176">
        <v>4</v>
      </c>
      <c r="F94" s="176">
        <f t="shared" si="6"/>
        <v>11.9</v>
      </c>
      <c r="G94" s="177">
        <f t="shared" si="9"/>
        <v>23.8</v>
      </c>
      <c r="H94" s="484">
        <v>33.6</v>
      </c>
      <c r="I94" s="178">
        <v>16.8</v>
      </c>
      <c r="J94" s="178">
        <v>4</v>
      </c>
      <c r="K94" s="185">
        <f>J94/H94*100</f>
        <v>11.9</v>
      </c>
      <c r="L94" s="179">
        <f>J94/I94*100</f>
        <v>23.8</v>
      </c>
    </row>
    <row r="95" spans="1:12" s="90" customFormat="1" ht="12" customHeight="1">
      <c r="A95" s="739"/>
      <c r="B95" s="180" t="s">
        <v>760</v>
      </c>
      <c r="C95" s="176">
        <f>H91-(C92+C93+C94)</f>
        <v>39</v>
      </c>
      <c r="D95" s="176">
        <f>I91-(D92+D93+D94)</f>
        <v>-230.5</v>
      </c>
      <c r="E95" s="176">
        <f>J91-(E92+E93+E94)</f>
        <v>-396.1</v>
      </c>
      <c r="F95" s="176">
        <f t="shared" si="6"/>
        <v>-1015.6</v>
      </c>
      <c r="G95" s="177">
        <f t="shared" si="9"/>
        <v>171.8</v>
      </c>
      <c r="H95" s="484"/>
      <c r="I95" s="178"/>
      <c r="J95" s="178"/>
      <c r="K95" s="178"/>
      <c r="L95" s="179"/>
    </row>
    <row r="96" spans="1:12" s="174" customFormat="1" ht="11.25" customHeight="1">
      <c r="A96" s="737">
        <v>18</v>
      </c>
      <c r="B96" s="169" t="s">
        <v>230</v>
      </c>
      <c r="C96" s="170">
        <f>C97+C98+C99</f>
        <v>14576</v>
      </c>
      <c r="D96" s="170">
        <f>D97+D98+D99</f>
        <v>6031.2</v>
      </c>
      <c r="E96" s="170">
        <f>E97+E98+E99</f>
        <v>10178.9</v>
      </c>
      <c r="F96" s="170">
        <f t="shared" si="6"/>
        <v>69.8</v>
      </c>
      <c r="G96" s="171">
        <f t="shared" si="9"/>
        <v>168.8</v>
      </c>
      <c r="H96" s="483">
        <f>H97+H98+H99+H100</f>
        <v>17317.5</v>
      </c>
      <c r="I96" s="172">
        <f>I97+I98+I99+I100</f>
        <v>7125.7</v>
      </c>
      <c r="J96" s="172">
        <f>J97+J98+J99+J100</f>
        <v>5507.5</v>
      </c>
      <c r="K96" s="172">
        <f>J96/H96*100</f>
        <v>31.8</v>
      </c>
      <c r="L96" s="173">
        <f>J96/I96*100</f>
        <v>77.3</v>
      </c>
    </row>
    <row r="97" spans="1:12" s="90" customFormat="1" ht="12.75" customHeight="1">
      <c r="A97" s="738"/>
      <c r="B97" s="175" t="s">
        <v>757</v>
      </c>
      <c r="C97" s="176">
        <v>12832.5</v>
      </c>
      <c r="D97" s="176">
        <v>4977.1</v>
      </c>
      <c r="E97" s="176">
        <v>9174.8</v>
      </c>
      <c r="F97" s="176">
        <f t="shared" si="6"/>
        <v>71.5</v>
      </c>
      <c r="G97" s="177">
        <f t="shared" si="9"/>
        <v>184.3</v>
      </c>
      <c r="H97" s="484">
        <v>17217.5</v>
      </c>
      <c r="I97" s="178">
        <v>7075.7</v>
      </c>
      <c r="J97" s="178">
        <v>5507.5</v>
      </c>
      <c r="K97" s="185">
        <f>J97/H97*100</f>
        <v>32</v>
      </c>
      <c r="L97" s="179">
        <f>J97/I97*100</f>
        <v>77.8</v>
      </c>
    </row>
    <row r="98" spans="1:12" s="90" customFormat="1" ht="12.75" customHeight="1">
      <c r="A98" s="738"/>
      <c r="B98" s="175" t="s">
        <v>758</v>
      </c>
      <c r="C98" s="176">
        <v>1643.5</v>
      </c>
      <c r="D98" s="176">
        <v>1004.1</v>
      </c>
      <c r="E98" s="176">
        <v>1004.1</v>
      </c>
      <c r="F98" s="176">
        <f t="shared" si="6"/>
        <v>61.1</v>
      </c>
      <c r="G98" s="177">
        <f t="shared" si="9"/>
        <v>100</v>
      </c>
      <c r="H98" s="484"/>
      <c r="I98" s="178"/>
      <c r="J98" s="178"/>
      <c r="K98" s="185"/>
      <c r="L98" s="179"/>
    </row>
    <row r="99" spans="1:12" s="90" customFormat="1" ht="12.75" customHeight="1">
      <c r="A99" s="738"/>
      <c r="B99" s="180" t="s">
        <v>759</v>
      </c>
      <c r="C99" s="176">
        <v>100</v>
      </c>
      <c r="D99" s="176">
        <v>50</v>
      </c>
      <c r="E99" s="176"/>
      <c r="F99" s="176">
        <f t="shared" si="6"/>
        <v>0</v>
      </c>
      <c r="G99" s="177">
        <f t="shared" si="9"/>
        <v>0</v>
      </c>
      <c r="H99" s="484">
        <v>100</v>
      </c>
      <c r="I99" s="178">
        <v>50</v>
      </c>
      <c r="J99" s="178"/>
      <c r="K99" s="185">
        <f>J99/H99*100</f>
        <v>0</v>
      </c>
      <c r="L99" s="179">
        <f>J99/I99*100</f>
        <v>0</v>
      </c>
    </row>
    <row r="100" spans="1:12" s="90" customFormat="1" ht="12.75" customHeight="1">
      <c r="A100" s="739"/>
      <c r="B100" s="180" t="s">
        <v>760</v>
      </c>
      <c r="C100" s="176">
        <f>H96-(C97+C98+C99)</f>
        <v>2741.5</v>
      </c>
      <c r="D100" s="176">
        <f>I96-(D97+D98+D99)</f>
        <v>1094.5</v>
      </c>
      <c r="E100" s="176">
        <f>J96-(E97+E98+E99)</f>
        <v>-4671.4</v>
      </c>
      <c r="F100" s="176">
        <f t="shared" si="6"/>
        <v>-170.4</v>
      </c>
      <c r="G100" s="177">
        <f t="shared" si="9"/>
        <v>-426.8</v>
      </c>
      <c r="H100" s="484"/>
      <c r="I100" s="178"/>
      <c r="J100" s="178"/>
      <c r="K100" s="178"/>
      <c r="L100" s="179"/>
    </row>
    <row r="101" spans="1:12" s="174" customFormat="1" ht="11.25" customHeight="1">
      <c r="A101" s="737">
        <v>19</v>
      </c>
      <c r="B101" s="169" t="s">
        <v>231</v>
      </c>
      <c r="C101" s="170">
        <f>C102+C103+C104</f>
        <v>8277.8</v>
      </c>
      <c r="D101" s="170">
        <f>D102+D103+D104</f>
        <v>4056.5</v>
      </c>
      <c r="E101" s="170">
        <f>E102+E103+E104</f>
        <v>4059.8</v>
      </c>
      <c r="F101" s="170">
        <f t="shared" si="6"/>
        <v>49</v>
      </c>
      <c r="G101" s="171">
        <f t="shared" si="9"/>
        <v>100.1</v>
      </c>
      <c r="H101" s="483">
        <f>H102+H103+H104+H105</f>
        <v>8413.5</v>
      </c>
      <c r="I101" s="172">
        <f>I102+I103+I104+I105</f>
        <v>4537.4</v>
      </c>
      <c r="J101" s="172">
        <f>J102+J103+J104+J105</f>
        <v>3201.1</v>
      </c>
      <c r="K101" s="172">
        <f>J101/H101*100</f>
        <v>38</v>
      </c>
      <c r="L101" s="173">
        <f>J101/I101*100</f>
        <v>70.5</v>
      </c>
    </row>
    <row r="102" spans="1:12" s="90" customFormat="1" ht="12.75" customHeight="1">
      <c r="A102" s="738"/>
      <c r="B102" s="175" t="s">
        <v>757</v>
      </c>
      <c r="C102" s="176">
        <v>7759.3</v>
      </c>
      <c r="D102" s="176">
        <v>3787.4</v>
      </c>
      <c r="E102" s="176">
        <v>3790.7</v>
      </c>
      <c r="F102" s="176">
        <f t="shared" si="6"/>
        <v>48.9</v>
      </c>
      <c r="G102" s="177">
        <f t="shared" si="9"/>
        <v>100.1</v>
      </c>
      <c r="H102" s="484">
        <v>8413.5</v>
      </c>
      <c r="I102" s="178">
        <v>4537.4</v>
      </c>
      <c r="J102" s="178">
        <v>3201.1</v>
      </c>
      <c r="K102" s="185">
        <f>J102/H102*100</f>
        <v>38</v>
      </c>
      <c r="L102" s="179">
        <f>J102/I102*100</f>
        <v>70.5</v>
      </c>
    </row>
    <row r="103" spans="1:12" s="90" customFormat="1" ht="12.75" customHeight="1">
      <c r="A103" s="738"/>
      <c r="B103" s="175" t="s">
        <v>758</v>
      </c>
      <c r="C103" s="176">
        <v>518.5</v>
      </c>
      <c r="D103" s="176">
        <v>269.1</v>
      </c>
      <c r="E103" s="176">
        <v>269.1</v>
      </c>
      <c r="F103" s="176">
        <f t="shared" si="6"/>
        <v>51.9</v>
      </c>
      <c r="G103" s="177">
        <f t="shared" si="9"/>
        <v>100</v>
      </c>
      <c r="H103" s="484"/>
      <c r="I103" s="178"/>
      <c r="J103" s="178"/>
      <c r="K103" s="185"/>
      <c r="L103" s="179"/>
    </row>
    <row r="104" spans="1:12" s="90" customFormat="1" ht="12.75" customHeight="1">
      <c r="A104" s="738"/>
      <c r="B104" s="180" t="s">
        <v>759</v>
      </c>
      <c r="C104" s="176"/>
      <c r="D104" s="176"/>
      <c r="E104" s="176"/>
      <c r="F104" s="176"/>
      <c r="G104" s="177"/>
      <c r="H104" s="484"/>
      <c r="I104" s="178"/>
      <c r="J104" s="178"/>
      <c r="K104" s="185"/>
      <c r="L104" s="179"/>
    </row>
    <row r="105" spans="1:12" s="90" customFormat="1" ht="12.75" customHeight="1">
      <c r="A105" s="739"/>
      <c r="B105" s="180" t="s">
        <v>760</v>
      </c>
      <c r="C105" s="176">
        <f>H101-(C102+C103+C104)</f>
        <v>135.7</v>
      </c>
      <c r="D105" s="176">
        <f>I101-(D102+D103+D104)</f>
        <v>480.9</v>
      </c>
      <c r="E105" s="176">
        <f>J101-(E102+E103+E104)</f>
        <v>-858.7</v>
      </c>
      <c r="F105" s="176">
        <f t="shared" si="6"/>
        <v>-632.8</v>
      </c>
      <c r="G105" s="177">
        <f t="shared" si="9"/>
        <v>-178.6</v>
      </c>
      <c r="H105" s="484"/>
      <c r="I105" s="178"/>
      <c r="J105" s="178"/>
      <c r="K105" s="178"/>
      <c r="L105" s="179"/>
    </row>
    <row r="106" spans="1:12" s="174" customFormat="1" ht="15" customHeight="1">
      <c r="A106" s="737">
        <v>20</v>
      </c>
      <c r="B106" s="169" t="s">
        <v>232</v>
      </c>
      <c r="C106" s="170">
        <f>C107+C108+C109</f>
        <v>21551</v>
      </c>
      <c r="D106" s="170">
        <f>D107+D108+D109</f>
        <v>8595.9</v>
      </c>
      <c r="E106" s="170">
        <f>E107+E108+E109</f>
        <v>7998</v>
      </c>
      <c r="F106" s="170">
        <f>E106/C106*100</f>
        <v>37.1</v>
      </c>
      <c r="G106" s="171">
        <f>E106/D106*100</f>
        <v>93</v>
      </c>
      <c r="H106" s="483">
        <f>H107+H108+H109+H110</f>
        <v>21946</v>
      </c>
      <c r="I106" s="172">
        <f>I107+I108+I109+I110</f>
        <v>8990.9</v>
      </c>
      <c r="J106" s="172">
        <f>J107+J108+J109+J110</f>
        <v>5862.5</v>
      </c>
      <c r="K106" s="172">
        <f>J106/H106*100</f>
        <v>26.7</v>
      </c>
      <c r="L106" s="173">
        <f>J106/I106*100</f>
        <v>65.2</v>
      </c>
    </row>
    <row r="107" spans="1:12" s="90" customFormat="1" ht="12.75" customHeight="1">
      <c r="A107" s="738"/>
      <c r="B107" s="175" t="s">
        <v>757</v>
      </c>
      <c r="C107" s="176">
        <v>16188.6</v>
      </c>
      <c r="D107" s="176">
        <v>6893.8</v>
      </c>
      <c r="E107" s="176">
        <v>6222.2</v>
      </c>
      <c r="F107" s="176">
        <f>E107/C107*100</f>
        <v>38.4</v>
      </c>
      <c r="G107" s="177">
        <f>E107/D107*100</f>
        <v>90.3</v>
      </c>
      <c r="H107" s="484">
        <v>21231.7</v>
      </c>
      <c r="I107" s="178">
        <v>8496.6</v>
      </c>
      <c r="J107" s="178">
        <v>5378</v>
      </c>
      <c r="K107" s="178">
        <f>J107/H107*100</f>
        <v>25.3</v>
      </c>
      <c r="L107" s="179">
        <f>J107/I107*100</f>
        <v>63.3</v>
      </c>
    </row>
    <row r="108" spans="1:12" s="90" customFormat="1" ht="12.75" customHeight="1">
      <c r="A108" s="738"/>
      <c r="B108" s="175" t="s">
        <v>758</v>
      </c>
      <c r="C108" s="176">
        <v>4671.2</v>
      </c>
      <c r="D108" s="176">
        <v>1230.9</v>
      </c>
      <c r="E108" s="176">
        <v>1239.8</v>
      </c>
      <c r="F108" s="176">
        <f>E108/C108*100</f>
        <v>26.5</v>
      </c>
      <c r="G108" s="177">
        <f>E108/D108*100</f>
        <v>100.7</v>
      </c>
      <c r="H108" s="484"/>
      <c r="I108" s="178"/>
      <c r="J108" s="178"/>
      <c r="K108" s="178"/>
      <c r="L108" s="179"/>
    </row>
    <row r="109" spans="1:12" s="90" customFormat="1" ht="12.75" customHeight="1">
      <c r="A109" s="738"/>
      <c r="B109" s="180" t="s">
        <v>759</v>
      </c>
      <c r="C109" s="176">
        <v>691.2</v>
      </c>
      <c r="D109" s="176">
        <v>471.2</v>
      </c>
      <c r="E109" s="176">
        <v>536</v>
      </c>
      <c r="F109" s="176">
        <f>E109/C109*100</f>
        <v>77.5</v>
      </c>
      <c r="G109" s="177">
        <f>E109/D109*100</f>
        <v>113.8</v>
      </c>
      <c r="H109" s="484">
        <v>714.3</v>
      </c>
      <c r="I109" s="178">
        <v>494.3</v>
      </c>
      <c r="J109" s="178">
        <v>484.5</v>
      </c>
      <c r="K109" s="178">
        <f>J109/H109*100</f>
        <v>67.8</v>
      </c>
      <c r="L109" s="179">
        <f>J109/I109*100</f>
        <v>98</v>
      </c>
    </row>
    <row r="110" spans="1:12" s="90" customFormat="1" ht="13.5" customHeight="1">
      <c r="A110" s="739"/>
      <c r="B110" s="180" t="s">
        <v>760</v>
      </c>
      <c r="C110" s="176">
        <f>H106-(C107+C108+C109)</f>
        <v>395</v>
      </c>
      <c r="D110" s="176">
        <f>I106-(D107+D108+D109)</f>
        <v>395</v>
      </c>
      <c r="E110" s="176">
        <f>J106-(E107+E108+E109)</f>
        <v>-2135.5</v>
      </c>
      <c r="F110" s="176">
        <f>E110/C110*100</f>
        <v>-540.6</v>
      </c>
      <c r="G110" s="177">
        <f>E110/D110*100</f>
        <v>-540.6</v>
      </c>
      <c r="H110" s="484"/>
      <c r="I110" s="178"/>
      <c r="J110" s="178"/>
      <c r="K110" s="178"/>
      <c r="L110" s="179"/>
    </row>
    <row r="111" spans="1:12" s="174" customFormat="1" ht="11.25" customHeight="1">
      <c r="A111" s="737">
        <v>21</v>
      </c>
      <c r="B111" s="169" t="s">
        <v>233</v>
      </c>
      <c r="C111" s="170">
        <f>C112+C113+C114</f>
        <v>29323</v>
      </c>
      <c r="D111" s="170">
        <f>D112+D113+D114</f>
        <v>13066.1</v>
      </c>
      <c r="E111" s="170">
        <f>E112+E113+E114</f>
        <v>6280</v>
      </c>
      <c r="F111" s="170">
        <f t="shared" si="6"/>
        <v>21.4</v>
      </c>
      <c r="G111" s="171">
        <f t="shared" si="9"/>
        <v>48.1</v>
      </c>
      <c r="H111" s="483">
        <f>H112+H113+H114+H115</f>
        <v>30828.7</v>
      </c>
      <c r="I111" s="172">
        <f>I112+I113+I114+I115</f>
        <v>14239.2</v>
      </c>
      <c r="J111" s="172">
        <f>J112+J113+J114+J115</f>
        <v>6949.5</v>
      </c>
      <c r="K111" s="172">
        <f>J111/H111*100</f>
        <v>22.5</v>
      </c>
      <c r="L111" s="173">
        <f>J111/I111*100</f>
        <v>48.8</v>
      </c>
    </row>
    <row r="112" spans="1:12" s="90" customFormat="1" ht="12.75" customHeight="1">
      <c r="A112" s="738"/>
      <c r="B112" s="175" t="s">
        <v>757</v>
      </c>
      <c r="C112" s="176">
        <v>27508.8</v>
      </c>
      <c r="D112" s="176">
        <v>12160.1</v>
      </c>
      <c r="E112" s="176">
        <v>5377.5</v>
      </c>
      <c r="F112" s="176">
        <f t="shared" si="6"/>
        <v>19.5</v>
      </c>
      <c r="G112" s="177">
        <f t="shared" si="9"/>
        <v>44.2</v>
      </c>
      <c r="H112" s="484">
        <v>30759.2</v>
      </c>
      <c r="I112" s="178">
        <v>14201.4</v>
      </c>
      <c r="J112" s="178">
        <v>6926.4</v>
      </c>
      <c r="K112" s="185">
        <f>J112/H112*100</f>
        <v>22.5</v>
      </c>
      <c r="L112" s="179">
        <f>J112/I112*100</f>
        <v>48.8</v>
      </c>
    </row>
    <row r="113" spans="1:12" s="90" customFormat="1" ht="12.75" customHeight="1">
      <c r="A113" s="738"/>
      <c r="B113" s="175" t="s">
        <v>758</v>
      </c>
      <c r="C113" s="176">
        <v>1745.5</v>
      </c>
      <c r="D113" s="176">
        <v>869</v>
      </c>
      <c r="E113" s="176">
        <v>869</v>
      </c>
      <c r="F113" s="176">
        <f t="shared" si="6"/>
        <v>49.8</v>
      </c>
      <c r="G113" s="177">
        <f t="shared" si="9"/>
        <v>100</v>
      </c>
      <c r="H113" s="484"/>
      <c r="I113" s="178"/>
      <c r="J113" s="178"/>
      <c r="K113" s="185"/>
      <c r="L113" s="179"/>
    </row>
    <row r="114" spans="1:12" s="90" customFormat="1" ht="12.75" customHeight="1">
      <c r="A114" s="738"/>
      <c r="B114" s="180" t="s">
        <v>759</v>
      </c>
      <c r="C114" s="176">
        <v>68.7</v>
      </c>
      <c r="D114" s="176">
        <v>37</v>
      </c>
      <c r="E114" s="176">
        <v>33.5</v>
      </c>
      <c r="F114" s="176">
        <f t="shared" si="6"/>
        <v>48.8</v>
      </c>
      <c r="G114" s="177">
        <f t="shared" si="9"/>
        <v>90.5</v>
      </c>
      <c r="H114" s="484">
        <v>69.5</v>
      </c>
      <c r="I114" s="178">
        <v>37.8</v>
      </c>
      <c r="J114" s="178">
        <v>23.1</v>
      </c>
      <c r="K114" s="185">
        <f>J114/H114*100</f>
        <v>33.2</v>
      </c>
      <c r="L114" s="179">
        <f>J114/I114*100</f>
        <v>61.1</v>
      </c>
    </row>
    <row r="115" spans="1:12" s="90" customFormat="1" ht="12.75" customHeight="1">
      <c r="A115" s="739"/>
      <c r="B115" s="180" t="s">
        <v>760</v>
      </c>
      <c r="C115" s="176">
        <f>H111-(C112+C113+C114)</f>
        <v>1505.7</v>
      </c>
      <c r="D115" s="176">
        <f>I111-(D112+D113+D114)</f>
        <v>1173.1</v>
      </c>
      <c r="E115" s="176">
        <f>J111-(E112+E113+E114)</f>
        <v>669.5</v>
      </c>
      <c r="F115" s="176">
        <f t="shared" si="6"/>
        <v>44.5</v>
      </c>
      <c r="G115" s="177">
        <f t="shared" si="9"/>
        <v>57.1</v>
      </c>
      <c r="H115" s="484"/>
      <c r="I115" s="178"/>
      <c r="J115" s="178"/>
      <c r="K115" s="178"/>
      <c r="L115" s="179"/>
    </row>
    <row r="116" spans="1:12" s="174" customFormat="1" ht="13.5" customHeight="1">
      <c r="A116" s="746">
        <v>22</v>
      </c>
      <c r="B116" s="169" t="s">
        <v>234</v>
      </c>
      <c r="C116" s="170">
        <f>C117+C118+C119</f>
        <v>8168.4</v>
      </c>
      <c r="D116" s="170">
        <f>D117+D118+D119</f>
        <v>5144.5</v>
      </c>
      <c r="E116" s="170">
        <f>E117+E118+E119</f>
        <v>3410.4</v>
      </c>
      <c r="F116" s="170">
        <f>E116/C116*100</f>
        <v>41.8</v>
      </c>
      <c r="G116" s="187">
        <f>E116/D116*100</f>
        <v>66.3</v>
      </c>
      <c r="H116" s="172">
        <f>H117+H118+H119+H120</f>
        <v>8611.9</v>
      </c>
      <c r="I116" s="172">
        <f>I117+I118+I119+I120</f>
        <v>5573</v>
      </c>
      <c r="J116" s="172">
        <f>J117+J118+J119+J120</f>
        <v>2868.4</v>
      </c>
      <c r="K116" s="172">
        <f>J116/H116*100</f>
        <v>33.3</v>
      </c>
      <c r="L116" s="172">
        <f>J116/I116*100</f>
        <v>51.5</v>
      </c>
    </row>
    <row r="117" spans="1:12" s="90" customFormat="1" ht="12.75" customHeight="1">
      <c r="A117" s="746"/>
      <c r="B117" s="175" t="s">
        <v>757</v>
      </c>
      <c r="C117" s="176">
        <v>6427.8</v>
      </c>
      <c r="D117" s="176">
        <v>4179.5</v>
      </c>
      <c r="E117" s="176">
        <v>2461.5</v>
      </c>
      <c r="F117" s="176">
        <f>E117/C117*100</f>
        <v>38.3</v>
      </c>
      <c r="G117" s="185">
        <f>E117/D117*100</f>
        <v>58.9</v>
      </c>
      <c r="H117" s="178">
        <v>8504.1</v>
      </c>
      <c r="I117" s="178">
        <v>5500.5</v>
      </c>
      <c r="J117" s="178">
        <v>2827</v>
      </c>
      <c r="K117" s="185">
        <f>J117/H117*100</f>
        <v>33.2</v>
      </c>
      <c r="L117" s="178">
        <f>J117/I117*100</f>
        <v>51.4</v>
      </c>
    </row>
    <row r="118" spans="1:12" s="90" customFormat="1" ht="12.75" customHeight="1">
      <c r="A118" s="746"/>
      <c r="B118" s="175" t="s">
        <v>758</v>
      </c>
      <c r="C118" s="176">
        <v>1632.9</v>
      </c>
      <c r="D118" s="176">
        <v>892.5</v>
      </c>
      <c r="E118" s="176">
        <v>892.5</v>
      </c>
      <c r="F118" s="176">
        <f>E118/C118*100</f>
        <v>54.7</v>
      </c>
      <c r="G118" s="185">
        <f>E118/D118*100</f>
        <v>100</v>
      </c>
      <c r="H118" s="178"/>
      <c r="I118" s="178"/>
      <c r="J118" s="178"/>
      <c r="K118" s="185"/>
      <c r="L118" s="178"/>
    </row>
    <row r="119" spans="1:12" s="90" customFormat="1" ht="12.75" customHeight="1">
      <c r="A119" s="746"/>
      <c r="B119" s="180" t="s">
        <v>759</v>
      </c>
      <c r="C119" s="176">
        <v>107.7</v>
      </c>
      <c r="D119" s="176">
        <v>72.5</v>
      </c>
      <c r="E119" s="176">
        <v>56.4</v>
      </c>
      <c r="F119" s="176">
        <f>E119/C119*100</f>
        <v>52.4</v>
      </c>
      <c r="G119" s="185">
        <f>E119/D119*100</f>
        <v>77.8</v>
      </c>
      <c r="H119" s="178">
        <v>107.8</v>
      </c>
      <c r="I119" s="178">
        <v>72.5</v>
      </c>
      <c r="J119" s="178">
        <v>41.4</v>
      </c>
      <c r="K119" s="185">
        <f>J119/H119*100</f>
        <v>38.4</v>
      </c>
      <c r="L119" s="178">
        <f>J119/I119*100</f>
        <v>57.1</v>
      </c>
    </row>
    <row r="120" spans="1:12" s="90" customFormat="1" ht="12" customHeight="1">
      <c r="A120" s="746"/>
      <c r="B120" s="180" t="s">
        <v>760</v>
      </c>
      <c r="C120" s="176">
        <f>H116-(C117+C118+C119)</f>
        <v>443.5</v>
      </c>
      <c r="D120" s="176">
        <f>I116-(D117+D118+D119)</f>
        <v>428.5</v>
      </c>
      <c r="E120" s="176">
        <f>J116-(E117+E118+E119)</f>
        <v>-542</v>
      </c>
      <c r="F120" s="176"/>
      <c r="G120" s="185"/>
      <c r="H120" s="178"/>
      <c r="I120" s="178"/>
      <c r="J120" s="178"/>
      <c r="K120" s="178"/>
      <c r="L120" s="178"/>
    </row>
    <row r="121" spans="1:12" s="90" customFormat="1" ht="12" customHeight="1">
      <c r="A121" s="160"/>
      <c r="B121" s="180"/>
      <c r="C121" s="176"/>
      <c r="D121" s="176"/>
      <c r="E121" s="176"/>
      <c r="F121" s="176"/>
      <c r="G121" s="185"/>
      <c r="H121" s="178"/>
      <c r="I121" s="178"/>
      <c r="J121" s="178"/>
      <c r="K121" s="178"/>
      <c r="L121" s="178"/>
    </row>
    <row r="122" spans="1:12" s="90" customFormat="1" ht="12">
      <c r="A122" s="159">
        <v>1</v>
      </c>
      <c r="B122" s="88">
        <v>2</v>
      </c>
      <c r="C122" s="165">
        <v>3</v>
      </c>
      <c r="D122" s="165">
        <v>4</v>
      </c>
      <c r="E122" s="165">
        <v>5</v>
      </c>
      <c r="F122" s="166">
        <v>6</v>
      </c>
      <c r="G122" s="167">
        <v>7</v>
      </c>
      <c r="H122" s="484">
        <v>8</v>
      </c>
      <c r="I122" s="178">
        <v>9</v>
      </c>
      <c r="J122" s="178">
        <v>10</v>
      </c>
      <c r="K122" s="178">
        <v>11</v>
      </c>
      <c r="L122" s="179">
        <v>12</v>
      </c>
    </row>
    <row r="123" spans="1:12" s="174" customFormat="1" ht="13.5" customHeight="1">
      <c r="A123" s="737">
        <v>23</v>
      </c>
      <c r="B123" s="169" t="s">
        <v>235</v>
      </c>
      <c r="C123" s="170">
        <f>C124+C125+C126</f>
        <v>3267.7</v>
      </c>
      <c r="D123" s="170">
        <f>D124+D125+D126</f>
        <v>1526.4</v>
      </c>
      <c r="E123" s="170">
        <f>E124+E125+E126</f>
        <v>2960.2</v>
      </c>
      <c r="F123" s="170">
        <f aca="true" t="shared" si="10" ref="F123:F152">E123/C123*100</f>
        <v>90.6</v>
      </c>
      <c r="G123" s="171">
        <f aca="true" t="shared" si="11" ref="G123:G152">E123/D123*100</f>
        <v>193.9</v>
      </c>
      <c r="H123" s="483">
        <f>H124+H125+H126+H127</f>
        <v>12157.8</v>
      </c>
      <c r="I123" s="172">
        <f>I124+I125+I126+I127</f>
        <v>8050.7</v>
      </c>
      <c r="J123" s="172">
        <f>J124+J125+J126+J127</f>
        <v>6237.3</v>
      </c>
      <c r="K123" s="172">
        <f>J123/H123*100</f>
        <v>51.3</v>
      </c>
      <c r="L123" s="173">
        <f>J123/I123*100</f>
        <v>77.5</v>
      </c>
    </row>
    <row r="124" spans="1:12" s="90" customFormat="1" ht="12.75" customHeight="1">
      <c r="A124" s="738"/>
      <c r="B124" s="175" t="s">
        <v>757</v>
      </c>
      <c r="C124" s="176">
        <v>2493.8</v>
      </c>
      <c r="D124" s="176">
        <v>1083</v>
      </c>
      <c r="E124" s="176">
        <v>2516.4</v>
      </c>
      <c r="F124" s="176">
        <f t="shared" si="10"/>
        <v>100.9</v>
      </c>
      <c r="G124" s="177">
        <f t="shared" si="11"/>
        <v>232.4</v>
      </c>
      <c r="H124" s="484">
        <v>12075.8</v>
      </c>
      <c r="I124" s="178">
        <v>7995.2</v>
      </c>
      <c r="J124" s="178">
        <v>6192.2</v>
      </c>
      <c r="K124" s="185">
        <f>J124/H124*100</f>
        <v>51.3</v>
      </c>
      <c r="L124" s="179">
        <f>J124/I124*100</f>
        <v>77.4</v>
      </c>
    </row>
    <row r="125" spans="1:12" s="90" customFormat="1" ht="12.75" customHeight="1">
      <c r="A125" s="738"/>
      <c r="B125" s="175" t="s">
        <v>758</v>
      </c>
      <c r="C125" s="176">
        <v>692.4</v>
      </c>
      <c r="D125" s="176">
        <v>388.4</v>
      </c>
      <c r="E125" s="176">
        <v>388.4</v>
      </c>
      <c r="F125" s="176">
        <f t="shared" si="10"/>
        <v>56.1</v>
      </c>
      <c r="G125" s="177">
        <f t="shared" si="11"/>
        <v>100</v>
      </c>
      <c r="H125" s="484"/>
      <c r="I125" s="178"/>
      <c r="J125" s="178"/>
      <c r="K125" s="185"/>
      <c r="L125" s="179"/>
    </row>
    <row r="126" spans="1:12" s="90" customFormat="1" ht="12.75" customHeight="1">
      <c r="A126" s="738"/>
      <c r="B126" s="180" t="s">
        <v>759</v>
      </c>
      <c r="C126" s="176">
        <v>81.5</v>
      </c>
      <c r="D126" s="176">
        <v>55</v>
      </c>
      <c r="E126" s="176">
        <v>55.4</v>
      </c>
      <c r="F126" s="176">
        <f t="shared" si="10"/>
        <v>68</v>
      </c>
      <c r="G126" s="177">
        <f t="shared" si="11"/>
        <v>100.7</v>
      </c>
      <c r="H126" s="484">
        <v>82</v>
      </c>
      <c r="I126" s="178">
        <v>55.5</v>
      </c>
      <c r="J126" s="178">
        <v>45.1</v>
      </c>
      <c r="K126" s="185">
        <f>J126/H126*100</f>
        <v>55</v>
      </c>
      <c r="L126" s="179">
        <f>J126/I126*100</f>
        <v>81.3</v>
      </c>
    </row>
    <row r="127" spans="1:12" s="90" customFormat="1" ht="12.75" customHeight="1">
      <c r="A127" s="739"/>
      <c r="B127" s="180" t="s">
        <v>760</v>
      </c>
      <c r="C127" s="176">
        <f>H123-(C124+C125+C126)</f>
        <v>8890.1</v>
      </c>
      <c r="D127" s="176">
        <f>I123-(D124+D125+D126)</f>
        <v>6524.3</v>
      </c>
      <c r="E127" s="176">
        <f>J123-(E124+E125+E126)</f>
        <v>3277.1</v>
      </c>
      <c r="F127" s="176">
        <f t="shared" si="10"/>
        <v>36.9</v>
      </c>
      <c r="G127" s="177">
        <f t="shared" si="11"/>
        <v>50.2</v>
      </c>
      <c r="H127" s="484"/>
      <c r="I127" s="178"/>
      <c r="J127" s="178"/>
      <c r="K127" s="178"/>
      <c r="L127" s="179"/>
    </row>
    <row r="128" spans="1:12" s="174" customFormat="1" ht="11.25" customHeight="1">
      <c r="A128" s="737">
        <v>25</v>
      </c>
      <c r="B128" s="169" t="s">
        <v>236</v>
      </c>
      <c r="C128" s="170">
        <f>C129+C130+C131</f>
        <v>10989.1</v>
      </c>
      <c r="D128" s="170">
        <f>D129+D130+D131</f>
        <v>4892.4</v>
      </c>
      <c r="E128" s="170">
        <f>E129+E130+E131</f>
        <v>4253</v>
      </c>
      <c r="F128" s="170">
        <f>E128/C128*100</f>
        <v>38.7</v>
      </c>
      <c r="G128" s="171">
        <f>E128/D128*100</f>
        <v>86.9</v>
      </c>
      <c r="H128" s="483">
        <f>H129+H130+H131+H132</f>
        <v>12313.9</v>
      </c>
      <c r="I128" s="172">
        <f>I129+I130+I131+I132</f>
        <v>6368.7</v>
      </c>
      <c r="J128" s="172">
        <f>J129+J130+J131+J132</f>
        <v>4788.6</v>
      </c>
      <c r="K128" s="172">
        <f>J128/H128*100</f>
        <v>38.9</v>
      </c>
      <c r="L128" s="173">
        <f>J128/I128*100</f>
        <v>75.2</v>
      </c>
    </row>
    <row r="129" spans="1:12" s="90" customFormat="1" ht="12.75" customHeight="1">
      <c r="A129" s="738"/>
      <c r="B129" s="175" t="s">
        <v>757</v>
      </c>
      <c r="C129" s="176">
        <v>7882.9</v>
      </c>
      <c r="D129" s="176">
        <v>3309.7</v>
      </c>
      <c r="E129" s="176">
        <v>2655</v>
      </c>
      <c r="F129" s="176">
        <f>E129/C129*100</f>
        <v>33.7</v>
      </c>
      <c r="G129" s="177">
        <f>E129/D129*100</f>
        <v>80.2</v>
      </c>
      <c r="H129" s="484">
        <v>11685.7</v>
      </c>
      <c r="I129" s="178">
        <v>5985.7</v>
      </c>
      <c r="J129" s="178">
        <v>4507</v>
      </c>
      <c r="K129" s="178">
        <f>J129/H129*100</f>
        <v>38.6</v>
      </c>
      <c r="L129" s="179">
        <f>J129/I129*100</f>
        <v>75.3</v>
      </c>
    </row>
    <row r="130" spans="1:12" s="90" customFormat="1" ht="12.75" customHeight="1">
      <c r="A130" s="738"/>
      <c r="B130" s="175" t="s">
        <v>758</v>
      </c>
      <c r="C130" s="176">
        <v>2582.1</v>
      </c>
      <c r="D130" s="176">
        <v>1303.8</v>
      </c>
      <c r="E130" s="176">
        <v>1303.8</v>
      </c>
      <c r="F130" s="176">
        <f>E130/C130*100</f>
        <v>50.5</v>
      </c>
      <c r="G130" s="177">
        <f>E130/D130*100</f>
        <v>100</v>
      </c>
      <c r="H130" s="484"/>
      <c r="I130" s="178"/>
      <c r="J130" s="178"/>
      <c r="K130" s="178"/>
      <c r="L130" s="179"/>
    </row>
    <row r="131" spans="1:12" s="90" customFormat="1" ht="12.75" customHeight="1">
      <c r="A131" s="738"/>
      <c r="B131" s="180" t="s">
        <v>759</v>
      </c>
      <c r="C131" s="176">
        <v>524.1</v>
      </c>
      <c r="D131" s="176">
        <v>278.9</v>
      </c>
      <c r="E131" s="176">
        <v>294.2</v>
      </c>
      <c r="F131" s="176">
        <f>E131/C131*100</f>
        <v>56.1</v>
      </c>
      <c r="G131" s="177">
        <f>E131/D131*100</f>
        <v>105.5</v>
      </c>
      <c r="H131" s="484">
        <v>628.2</v>
      </c>
      <c r="I131" s="178">
        <v>383</v>
      </c>
      <c r="J131" s="178">
        <v>281.6</v>
      </c>
      <c r="K131" s="178">
        <f>J131/H131*100</f>
        <v>44.8</v>
      </c>
      <c r="L131" s="179">
        <f>J131/I131*100</f>
        <v>73.5</v>
      </c>
    </row>
    <row r="132" spans="1:12" s="90" customFormat="1" ht="12.75" customHeight="1">
      <c r="A132" s="739"/>
      <c r="B132" s="180" t="s">
        <v>760</v>
      </c>
      <c r="C132" s="176">
        <f>H128-(C129+C130+C131)</f>
        <v>1324.8</v>
      </c>
      <c r="D132" s="176">
        <f>I128-(D129+D130+D131)</f>
        <v>1476.3</v>
      </c>
      <c r="E132" s="176">
        <f>J128-(E129+E130+E131)</f>
        <v>535.6</v>
      </c>
      <c r="F132" s="176"/>
      <c r="G132" s="177"/>
      <c r="H132" s="484"/>
      <c r="I132" s="178"/>
      <c r="J132" s="178"/>
      <c r="K132" s="178"/>
      <c r="L132" s="179"/>
    </row>
    <row r="133" spans="1:12" s="174" customFormat="1" ht="14.25" customHeight="1">
      <c r="A133" s="737">
        <v>24</v>
      </c>
      <c r="B133" s="169" t="s">
        <v>237</v>
      </c>
      <c r="C133" s="170">
        <f>C134+C135+C136</f>
        <v>8251.3</v>
      </c>
      <c r="D133" s="170">
        <f>D134+D135+D136</f>
        <v>3721.8</v>
      </c>
      <c r="E133" s="170">
        <f>E134+E135+E136</f>
        <v>7476.6</v>
      </c>
      <c r="F133" s="170">
        <f t="shared" si="10"/>
        <v>90.6</v>
      </c>
      <c r="G133" s="171">
        <f t="shared" si="11"/>
        <v>200.9</v>
      </c>
      <c r="H133" s="483">
        <f>H134+H135+H136+H137</f>
        <v>9166.4</v>
      </c>
      <c r="I133" s="172">
        <f>I134+I135+I136+I137</f>
        <v>2962.2</v>
      </c>
      <c r="J133" s="172">
        <f>J134+J135+J136+J137</f>
        <v>2583</v>
      </c>
      <c r="K133" s="172">
        <f>J133/H133*100</f>
        <v>28.2</v>
      </c>
      <c r="L133" s="173">
        <f>J133/I133*100</f>
        <v>87.2</v>
      </c>
    </row>
    <row r="134" spans="1:12" s="90" customFormat="1" ht="12.75" customHeight="1">
      <c r="A134" s="738"/>
      <c r="B134" s="175" t="s">
        <v>757</v>
      </c>
      <c r="C134" s="176">
        <v>5239.1</v>
      </c>
      <c r="D134" s="176">
        <v>1937.8</v>
      </c>
      <c r="E134" s="176">
        <v>5700.5</v>
      </c>
      <c r="F134" s="176">
        <f t="shared" si="10"/>
        <v>108.8</v>
      </c>
      <c r="G134" s="177">
        <f t="shared" si="11"/>
        <v>294.2</v>
      </c>
      <c r="H134" s="484">
        <v>9138.4</v>
      </c>
      <c r="I134" s="178">
        <v>2947.9</v>
      </c>
      <c r="J134" s="178">
        <v>2576.5</v>
      </c>
      <c r="K134" s="185">
        <f>J134/H134*100</f>
        <v>28.2</v>
      </c>
      <c r="L134" s="179">
        <f>J134/I134*100</f>
        <v>87.4</v>
      </c>
    </row>
    <row r="135" spans="1:12" s="90" customFormat="1" ht="12.75" customHeight="1">
      <c r="A135" s="738"/>
      <c r="B135" s="175" t="s">
        <v>758</v>
      </c>
      <c r="C135" s="176">
        <v>2984.2</v>
      </c>
      <c r="D135" s="176">
        <v>1769.6</v>
      </c>
      <c r="E135" s="176">
        <v>1769.6</v>
      </c>
      <c r="F135" s="176">
        <f t="shared" si="10"/>
        <v>59.3</v>
      </c>
      <c r="G135" s="177">
        <f t="shared" si="11"/>
        <v>100</v>
      </c>
      <c r="H135" s="484"/>
      <c r="I135" s="178"/>
      <c r="J135" s="178"/>
      <c r="K135" s="185"/>
      <c r="L135" s="179"/>
    </row>
    <row r="136" spans="1:12" s="90" customFormat="1" ht="12.75" customHeight="1">
      <c r="A136" s="738"/>
      <c r="B136" s="180" t="s">
        <v>759</v>
      </c>
      <c r="C136" s="176">
        <v>28</v>
      </c>
      <c r="D136" s="176">
        <v>14.4</v>
      </c>
      <c r="E136" s="176">
        <v>6.5</v>
      </c>
      <c r="F136" s="176">
        <f t="shared" si="10"/>
        <v>23.2</v>
      </c>
      <c r="G136" s="177">
        <f t="shared" si="11"/>
        <v>45.1</v>
      </c>
      <c r="H136" s="484">
        <v>28</v>
      </c>
      <c r="I136" s="178">
        <v>14.3</v>
      </c>
      <c r="J136" s="178">
        <v>6.5</v>
      </c>
      <c r="K136" s="185">
        <f>J136/H136*100</f>
        <v>23.2</v>
      </c>
      <c r="L136" s="179">
        <f>J136/I136*100</f>
        <v>45.5</v>
      </c>
    </row>
    <row r="137" spans="1:12" s="90" customFormat="1" ht="12.75" customHeight="1">
      <c r="A137" s="739"/>
      <c r="B137" s="180" t="s">
        <v>760</v>
      </c>
      <c r="C137" s="176">
        <f>H133-(C134+C135+C136)</f>
        <v>915.1</v>
      </c>
      <c r="D137" s="176">
        <f>I133-(D134+D135+D136)</f>
        <v>-759.6</v>
      </c>
      <c r="E137" s="176">
        <f>J133-(E134+E135+E136)</f>
        <v>-4893.6</v>
      </c>
      <c r="F137" s="176">
        <f t="shared" si="10"/>
        <v>-534.8</v>
      </c>
      <c r="G137" s="177">
        <f t="shared" si="11"/>
        <v>644.2</v>
      </c>
      <c r="H137" s="484"/>
      <c r="I137" s="178"/>
      <c r="J137" s="178"/>
      <c r="K137" s="178"/>
      <c r="L137" s="179"/>
    </row>
    <row r="138" spans="1:12" s="189" customFormat="1" ht="15.75" customHeight="1">
      <c r="A138" s="749"/>
      <c r="B138" s="188" t="s">
        <v>987</v>
      </c>
      <c r="C138" s="181">
        <f>C140+C141+C139</f>
        <v>243690.7</v>
      </c>
      <c r="D138" s="181">
        <f>D140+D141+D139</f>
        <v>120663.2</v>
      </c>
      <c r="E138" s="181">
        <f>E140+E141+E139</f>
        <v>120726.3</v>
      </c>
      <c r="F138" s="181">
        <f t="shared" si="10"/>
        <v>49.5</v>
      </c>
      <c r="G138" s="173">
        <f t="shared" si="11"/>
        <v>100.1</v>
      </c>
      <c r="H138" s="485">
        <f>H140+H141+H139</f>
        <v>302637.6</v>
      </c>
      <c r="I138" s="486">
        <f>I140+I141+I139</f>
        <v>158371.2</v>
      </c>
      <c r="J138" s="486">
        <f>J140+J141+J139</f>
        <v>116808.1</v>
      </c>
      <c r="K138" s="172">
        <f>J138/H138*100</f>
        <v>38.6</v>
      </c>
      <c r="L138" s="173">
        <f>J138/I138*100</f>
        <v>73.8</v>
      </c>
    </row>
    <row r="139" spans="1:12" s="190" customFormat="1" ht="12" customHeight="1">
      <c r="A139" s="750"/>
      <c r="B139" s="180" t="s">
        <v>757</v>
      </c>
      <c r="C139" s="182">
        <f>C107+C129+C10+C15+C20+C25+C30+C35+C41+C46+C51+C56+C61+C66+C71+C76+C82+C87+C97+C102+C112+C117+C124+C134+C92+0.1</f>
        <v>180750.1</v>
      </c>
      <c r="D139" s="182">
        <f aca="true" t="shared" si="12" ref="D139:E141">D107+D129+D10+D15+D20+D25+D30+D35+D41+D46+D51+D56+D61+D66+D71+D76+D82+D87+D97+D102+D112+D117+D124+D134+D92</f>
        <v>86451.1</v>
      </c>
      <c r="E139" s="182">
        <f>E107+E129+E10+E15+E20+E25+E30+E35+E41+E46+E51+E56+E61+E66+E71+E76+E82+E87+E97+E102+E112+E117+E124+E134+E92-0.2</f>
        <v>86703.2</v>
      </c>
      <c r="F139" s="182">
        <f t="shared" si="10"/>
        <v>48</v>
      </c>
      <c r="G139" s="179">
        <f t="shared" si="11"/>
        <v>100.3</v>
      </c>
      <c r="H139" s="487">
        <f aca="true" t="shared" si="13" ref="H139:J141">H134+H124+H117+H102+H97+H92+H87+H82+H76+H71+H66+H61+H56+H51+H46+H41+H35+H30+H25+H20+H15+H10+H129+H107+H112</f>
        <v>297510.4</v>
      </c>
      <c r="I139" s="481">
        <f t="shared" si="13"/>
        <v>155109.6</v>
      </c>
      <c r="J139" s="481">
        <f t="shared" si="13"/>
        <v>114627.5</v>
      </c>
      <c r="K139" s="178">
        <f>J139/H139*100</f>
        <v>38.5</v>
      </c>
      <c r="L139" s="179">
        <f>J139/I139*100</f>
        <v>73.9</v>
      </c>
    </row>
    <row r="140" spans="1:12" s="190" customFormat="1" ht="12.75" customHeight="1">
      <c r="A140" s="750"/>
      <c r="B140" s="180" t="s">
        <v>758</v>
      </c>
      <c r="C140" s="182">
        <f>C108+C130+C11+C16+C21+C26+C31+C36+C42+C47+C52+C57+C62+C67+C72+C77+C83+C88+C98+C103+C113+C118+C125+C135+C93+0.3</f>
        <v>58148.9</v>
      </c>
      <c r="D140" s="182">
        <f t="shared" si="12"/>
        <v>31285.7</v>
      </c>
      <c r="E140" s="182">
        <f t="shared" si="12"/>
        <v>31377.1</v>
      </c>
      <c r="F140" s="182">
        <f t="shared" si="10"/>
        <v>54</v>
      </c>
      <c r="G140" s="179">
        <f t="shared" si="11"/>
        <v>100.3</v>
      </c>
      <c r="H140" s="487">
        <f t="shared" si="13"/>
        <v>0</v>
      </c>
      <c r="I140" s="481">
        <f t="shared" si="13"/>
        <v>0</v>
      </c>
      <c r="J140" s="481">
        <f t="shared" si="13"/>
        <v>0</v>
      </c>
      <c r="K140" s="178"/>
      <c r="L140" s="179"/>
    </row>
    <row r="141" spans="1:12" s="190" customFormat="1" ht="12.75" customHeight="1">
      <c r="A141" s="750"/>
      <c r="B141" s="180" t="s">
        <v>759</v>
      </c>
      <c r="C141" s="182">
        <f>C109+C131+C12+C17+C22+C27+C32+C37+C43+C48+C53+C58+C63+C68+C73+C78+C84+C89+C99+C104+C114+C119+C126+C136+C94+0.1</f>
        <v>4791.7</v>
      </c>
      <c r="D141" s="182">
        <f t="shared" si="12"/>
        <v>2926.4</v>
      </c>
      <c r="E141" s="182">
        <f>E109+E131+E12+E17+E22+E27+E32+E37+E43+E48+E53+E58+E63+E68+E73+E78+E84+E89+E99+E104+E114+E119+E126+E136+E94+0.3</f>
        <v>2646</v>
      </c>
      <c r="F141" s="182">
        <f t="shared" si="10"/>
        <v>55.2</v>
      </c>
      <c r="G141" s="179">
        <f t="shared" si="11"/>
        <v>90.4</v>
      </c>
      <c r="H141" s="487">
        <f t="shared" si="13"/>
        <v>5127.2</v>
      </c>
      <c r="I141" s="481">
        <f t="shared" si="13"/>
        <v>3261.6</v>
      </c>
      <c r="J141" s="481">
        <f t="shared" si="13"/>
        <v>2180.6</v>
      </c>
      <c r="K141" s="178">
        <f>J141/H141*100</f>
        <v>42.5</v>
      </c>
      <c r="L141" s="179">
        <f>J141/I141*100</f>
        <v>66.9</v>
      </c>
    </row>
    <row r="142" spans="1:12" s="190" customFormat="1" ht="12.75" customHeight="1">
      <c r="A142" s="714"/>
      <c r="B142" s="180" t="s">
        <v>760</v>
      </c>
      <c r="C142" s="182">
        <f>H138-(C141+C140+C139)</f>
        <v>58946.9</v>
      </c>
      <c r="D142" s="182">
        <f>I138-(D141+D140+D139)</f>
        <v>37708</v>
      </c>
      <c r="E142" s="182">
        <f>J138-(E141+E140+E139)</f>
        <v>-3918.2</v>
      </c>
      <c r="F142" s="182">
        <f t="shared" si="10"/>
        <v>-6.6</v>
      </c>
      <c r="G142" s="179">
        <f t="shared" si="11"/>
        <v>-10.4</v>
      </c>
      <c r="H142" s="487"/>
      <c r="I142" s="481"/>
      <c r="J142" s="481"/>
      <c r="K142" s="178"/>
      <c r="L142" s="488"/>
    </row>
    <row r="143" spans="1:12" s="193" customFormat="1" ht="12.75" customHeight="1">
      <c r="A143" s="715"/>
      <c r="B143" s="191" t="s">
        <v>238</v>
      </c>
      <c r="C143" s="170">
        <f>C144+C145+C146</f>
        <v>1495504.5</v>
      </c>
      <c r="D143" s="170">
        <f>D144+D145+D146</f>
        <v>682078.9</v>
      </c>
      <c r="E143" s="170">
        <f>E144+E145+E146</f>
        <v>693446</v>
      </c>
      <c r="F143" s="170">
        <f t="shared" si="10"/>
        <v>46.4</v>
      </c>
      <c r="G143" s="192">
        <f t="shared" si="11"/>
        <v>101.7</v>
      </c>
      <c r="H143" s="489">
        <f>H144+H145+H146</f>
        <v>1643327.2</v>
      </c>
      <c r="I143" s="482">
        <f>I144+I145+I146</f>
        <v>797644.4</v>
      </c>
      <c r="J143" s="482">
        <f>J144+J145+J146</f>
        <v>645963.6</v>
      </c>
      <c r="K143" s="178">
        <f>J143/H143*100</f>
        <v>39.3</v>
      </c>
      <c r="L143" s="179">
        <f>J143/I143*100</f>
        <v>81</v>
      </c>
    </row>
    <row r="144" spans="1:12" s="190" customFormat="1" ht="12.75" customHeight="1">
      <c r="A144" s="716"/>
      <c r="B144" s="180" t="s">
        <v>757</v>
      </c>
      <c r="C144" s="182">
        <v>364580.2</v>
      </c>
      <c r="D144" s="182">
        <v>135605</v>
      </c>
      <c r="E144" s="182">
        <v>179678.4</v>
      </c>
      <c r="F144" s="182">
        <f t="shared" si="10"/>
        <v>49.3</v>
      </c>
      <c r="G144" s="183">
        <f t="shared" si="11"/>
        <v>132.5</v>
      </c>
      <c r="H144" s="490">
        <v>1574402.1</v>
      </c>
      <c r="I144" s="481">
        <v>753899.7</v>
      </c>
      <c r="J144" s="481">
        <v>613477</v>
      </c>
      <c r="K144" s="178">
        <f>J144/H144*100</f>
        <v>39</v>
      </c>
      <c r="L144" s="179">
        <f>J144/I144*100</f>
        <v>81.4</v>
      </c>
    </row>
    <row r="145" spans="1:12" s="190" customFormat="1" ht="12.75" customHeight="1">
      <c r="A145" s="716"/>
      <c r="B145" s="180" t="s">
        <v>758</v>
      </c>
      <c r="C145" s="182">
        <v>1066566.5</v>
      </c>
      <c r="D145" s="182">
        <v>507268.8</v>
      </c>
      <c r="E145" s="176">
        <v>477490.1</v>
      </c>
      <c r="F145" s="182">
        <f t="shared" si="10"/>
        <v>44.8</v>
      </c>
      <c r="G145" s="183">
        <f t="shared" si="11"/>
        <v>94.1</v>
      </c>
      <c r="H145" s="490"/>
      <c r="I145" s="481"/>
      <c r="J145" s="481"/>
      <c r="K145" s="178"/>
      <c r="L145" s="488"/>
    </row>
    <row r="146" spans="1:12" s="190" customFormat="1" ht="12.75" customHeight="1">
      <c r="A146" s="716"/>
      <c r="B146" s="180" t="s">
        <v>759</v>
      </c>
      <c r="C146" s="182">
        <v>64357.8</v>
      </c>
      <c r="D146" s="182">
        <v>39205.1</v>
      </c>
      <c r="E146" s="176">
        <v>36277.5</v>
      </c>
      <c r="F146" s="182">
        <f t="shared" si="10"/>
        <v>56.4</v>
      </c>
      <c r="G146" s="183">
        <f t="shared" si="11"/>
        <v>92.5</v>
      </c>
      <c r="H146" s="490">
        <v>68925.1</v>
      </c>
      <c r="I146" s="481">
        <v>43744.7</v>
      </c>
      <c r="J146" s="481">
        <v>32486.6</v>
      </c>
      <c r="K146" s="178">
        <f>J146/H146*100</f>
        <v>47.1</v>
      </c>
      <c r="L146" s="179">
        <f>J146/I146*100</f>
        <v>74.3</v>
      </c>
    </row>
    <row r="147" spans="1:12" s="190" customFormat="1" ht="12.75" customHeight="1">
      <c r="A147" s="194"/>
      <c r="B147" s="195" t="s">
        <v>760</v>
      </c>
      <c r="C147" s="196">
        <f>H143-(C144+C145+C146)</f>
        <v>147822.7</v>
      </c>
      <c r="D147" s="196">
        <f>I143-(D144+D145+D146)</f>
        <v>115565.5</v>
      </c>
      <c r="E147" s="196">
        <f>J143-(E144+E145+E146)</f>
        <v>-47482.4</v>
      </c>
      <c r="F147" s="196">
        <f t="shared" si="10"/>
        <v>-32.1</v>
      </c>
      <c r="G147" s="197">
        <f t="shared" si="11"/>
        <v>-41.1</v>
      </c>
      <c r="H147" s="491"/>
      <c r="I147" s="492"/>
      <c r="J147" s="492"/>
      <c r="K147" s="198"/>
      <c r="L147" s="197"/>
    </row>
    <row r="148" spans="1:12" s="204" customFormat="1" ht="15" customHeight="1">
      <c r="A148" s="749"/>
      <c r="B148" s="199" t="s">
        <v>239</v>
      </c>
      <c r="C148" s="200">
        <f>C149+C150+C151</f>
        <v>1622635.3</v>
      </c>
      <c r="D148" s="200">
        <f>D149+D150+D151</f>
        <v>736924.4</v>
      </c>
      <c r="E148" s="200">
        <f>E149+E150+E151</f>
        <v>761300.9</v>
      </c>
      <c r="F148" s="201">
        <f t="shared" si="10"/>
        <v>46.9</v>
      </c>
      <c r="G148" s="202">
        <f t="shared" si="11"/>
        <v>103.3</v>
      </c>
      <c r="H148" s="493">
        <f>H149+H151</f>
        <v>1829404.9</v>
      </c>
      <c r="I148" s="494">
        <f>I149+I151</f>
        <v>890197.9</v>
      </c>
      <c r="J148" s="494">
        <f>J149+J151</f>
        <v>709900.3</v>
      </c>
      <c r="K148" s="203">
        <f>J148/H148*100</f>
        <v>38.8</v>
      </c>
      <c r="L148" s="202">
        <f>J148/I148*100</f>
        <v>79.7</v>
      </c>
    </row>
    <row r="149" spans="1:12" s="189" customFormat="1" ht="15" customHeight="1">
      <c r="A149" s="750"/>
      <c r="B149" s="180" t="s">
        <v>757</v>
      </c>
      <c r="C149" s="186">
        <f>C144+C139</f>
        <v>545330.3</v>
      </c>
      <c r="D149" s="186">
        <f>D144+D139</f>
        <v>222056.1</v>
      </c>
      <c r="E149" s="186">
        <f>E144+E139</f>
        <v>266381.6</v>
      </c>
      <c r="F149" s="205">
        <f t="shared" si="10"/>
        <v>48.8</v>
      </c>
      <c r="G149" s="177">
        <f t="shared" si="11"/>
        <v>120</v>
      </c>
      <c r="H149" s="495">
        <f>H144+H139-116559.93</f>
        <v>1755352.6</v>
      </c>
      <c r="I149" s="496">
        <f>I144+I139-65817.7</f>
        <v>843191.6</v>
      </c>
      <c r="J149" s="496">
        <f>J144+J139-52871.42</f>
        <v>675233.1</v>
      </c>
      <c r="K149" s="185">
        <f>J149/H149*100</f>
        <v>38.5</v>
      </c>
      <c r="L149" s="206">
        <f>J149/I149*100</f>
        <v>80.1</v>
      </c>
    </row>
    <row r="150" spans="1:12" s="189" customFormat="1" ht="15" customHeight="1">
      <c r="A150" s="750"/>
      <c r="B150" s="180" t="s">
        <v>758</v>
      </c>
      <c r="C150" s="186">
        <f>C140+C145-116559.93</f>
        <v>1008155.5</v>
      </c>
      <c r="D150" s="186">
        <f>D140+D145-65817.7</f>
        <v>472736.8</v>
      </c>
      <c r="E150" s="186">
        <f>E140+E145-52871.42</f>
        <v>455995.8</v>
      </c>
      <c r="F150" s="205">
        <f t="shared" si="10"/>
        <v>45.2</v>
      </c>
      <c r="G150" s="177">
        <f t="shared" si="11"/>
        <v>96.5</v>
      </c>
      <c r="H150" s="495"/>
      <c r="I150" s="496"/>
      <c r="J150" s="496"/>
      <c r="K150" s="185"/>
      <c r="L150" s="206"/>
    </row>
    <row r="151" spans="1:12" s="189" customFormat="1" ht="15" customHeight="1">
      <c r="A151" s="750"/>
      <c r="B151" s="180" t="s">
        <v>759</v>
      </c>
      <c r="C151" s="186">
        <f>C146+C141</f>
        <v>69149.5</v>
      </c>
      <c r="D151" s="186">
        <f aca="true" t="shared" si="14" ref="C151:E152">D146+D141</f>
        <v>42131.5</v>
      </c>
      <c r="E151" s="186">
        <f>E146+E141</f>
        <v>38923.5</v>
      </c>
      <c r="F151" s="205">
        <f t="shared" si="10"/>
        <v>56.3</v>
      </c>
      <c r="G151" s="177">
        <f t="shared" si="11"/>
        <v>92.4</v>
      </c>
      <c r="H151" s="495">
        <f>H146+H141</f>
        <v>74052.3</v>
      </c>
      <c r="I151" s="496">
        <f>I146+I141</f>
        <v>47006.3</v>
      </c>
      <c r="J151" s="496">
        <f>J146+J141</f>
        <v>34667.2</v>
      </c>
      <c r="K151" s="185">
        <f>J151/H151*100</f>
        <v>46.8</v>
      </c>
      <c r="L151" s="206">
        <f>J151/I151*100</f>
        <v>73.8</v>
      </c>
    </row>
    <row r="152" spans="1:12" s="189" customFormat="1" ht="15" customHeight="1">
      <c r="A152" s="710"/>
      <c r="B152" s="195" t="s">
        <v>760</v>
      </c>
      <c r="C152" s="207">
        <f t="shared" si="14"/>
        <v>206769.6</v>
      </c>
      <c r="D152" s="207">
        <f t="shared" si="14"/>
        <v>153273.5</v>
      </c>
      <c r="E152" s="207">
        <f t="shared" si="14"/>
        <v>-51400.6</v>
      </c>
      <c r="F152" s="208">
        <f t="shared" si="10"/>
        <v>-24.9</v>
      </c>
      <c r="G152" s="209">
        <f t="shared" si="11"/>
        <v>-33.5</v>
      </c>
      <c r="H152" s="210"/>
      <c r="I152" s="210"/>
      <c r="J152" s="210"/>
      <c r="K152" s="211"/>
      <c r="L152" s="212"/>
    </row>
    <row r="153" spans="1:5" s="190" customFormat="1" ht="12">
      <c r="A153" s="213"/>
      <c r="C153" s="214"/>
      <c r="D153" s="214"/>
      <c r="E153" s="214"/>
    </row>
    <row r="154" spans="1:5" s="190" customFormat="1" ht="12">
      <c r="A154" s="213"/>
      <c r="C154" s="214"/>
      <c r="D154" s="214"/>
      <c r="E154" s="214"/>
    </row>
    <row r="155" spans="1:12" s="215" customFormat="1" ht="19.5" customHeight="1">
      <c r="A155" s="711" t="s">
        <v>762</v>
      </c>
      <c r="B155" s="712"/>
      <c r="C155" s="712"/>
      <c r="D155" s="712"/>
      <c r="E155" s="712"/>
      <c r="K155" s="713" t="s">
        <v>240</v>
      </c>
      <c r="L155" s="713"/>
    </row>
    <row r="156" spans="1:5" s="190" customFormat="1" ht="12">
      <c r="A156" s="213"/>
      <c r="C156" s="214"/>
      <c r="D156" s="214"/>
      <c r="E156" s="214"/>
    </row>
    <row r="157" spans="1:5" s="190" customFormat="1" ht="12">
      <c r="A157" s="213"/>
      <c r="C157" s="214"/>
      <c r="D157" s="214"/>
      <c r="E157" s="214"/>
    </row>
    <row r="158" spans="1:5" s="190" customFormat="1" ht="12">
      <c r="A158" s="213"/>
      <c r="C158" s="214"/>
      <c r="D158" s="214"/>
      <c r="E158" s="214"/>
    </row>
    <row r="159" spans="1:5" s="190" customFormat="1" ht="12">
      <c r="A159" s="213"/>
      <c r="C159" s="214"/>
      <c r="D159" s="214"/>
      <c r="E159" s="214"/>
    </row>
    <row r="160" spans="1:5" s="190" customFormat="1" ht="12">
      <c r="A160" s="213"/>
      <c r="C160" s="214"/>
      <c r="D160" s="214"/>
      <c r="E160" s="214"/>
    </row>
    <row r="161" spans="1:5" s="190" customFormat="1" ht="12">
      <c r="A161" s="213"/>
      <c r="C161" s="214"/>
      <c r="D161" s="214"/>
      <c r="E161" s="214"/>
    </row>
    <row r="162" spans="1:5" s="190" customFormat="1" ht="12">
      <c r="A162" s="213"/>
      <c r="C162" s="214"/>
      <c r="D162" s="214"/>
      <c r="E162" s="214"/>
    </row>
    <row r="163" spans="1:5" s="190" customFormat="1" ht="12">
      <c r="A163" s="213"/>
      <c r="C163" s="214"/>
      <c r="D163" s="214"/>
      <c r="E163" s="214"/>
    </row>
    <row r="164" spans="1:5" s="190" customFormat="1" ht="12">
      <c r="A164" s="213"/>
      <c r="C164" s="214"/>
      <c r="D164" s="214"/>
      <c r="E164" s="214"/>
    </row>
    <row r="165" spans="1:5" s="190" customFormat="1" ht="12">
      <c r="A165" s="213"/>
      <c r="C165" s="214"/>
      <c r="D165" s="214"/>
      <c r="E165" s="214"/>
    </row>
    <row r="166" spans="1:5" s="190" customFormat="1" ht="12">
      <c r="A166" s="213"/>
      <c r="C166" s="214"/>
      <c r="D166" s="214"/>
      <c r="E166" s="214"/>
    </row>
    <row r="167" spans="1:5" s="190" customFormat="1" ht="12">
      <c r="A167" s="213"/>
      <c r="C167" s="214"/>
      <c r="D167" s="214"/>
      <c r="E167" s="214"/>
    </row>
    <row r="168" spans="1:5" s="190" customFormat="1" ht="12">
      <c r="A168" s="213"/>
      <c r="C168" s="214"/>
      <c r="D168" s="214"/>
      <c r="E168" s="214"/>
    </row>
    <row r="169" spans="1:5" s="190" customFormat="1" ht="12">
      <c r="A169" s="213"/>
      <c r="C169" s="214"/>
      <c r="D169" s="214"/>
      <c r="E169" s="214"/>
    </row>
    <row r="170" spans="1:5" s="190" customFormat="1" ht="12">
      <c r="A170" s="213"/>
      <c r="C170" s="214"/>
      <c r="D170" s="214"/>
      <c r="E170" s="214"/>
    </row>
    <row r="171" spans="1:5" s="190" customFormat="1" ht="12">
      <c r="A171" s="213"/>
      <c r="C171" s="214"/>
      <c r="D171" s="214"/>
      <c r="E171" s="214"/>
    </row>
    <row r="172" spans="1:5" s="190" customFormat="1" ht="12">
      <c r="A172" s="213"/>
      <c r="C172" s="214"/>
      <c r="D172" s="214"/>
      <c r="E172" s="214"/>
    </row>
    <row r="173" spans="1:5" s="190" customFormat="1" ht="12">
      <c r="A173" s="213"/>
      <c r="C173" s="214"/>
      <c r="D173" s="214"/>
      <c r="E173" s="214"/>
    </row>
    <row r="174" spans="1:5" s="190" customFormat="1" ht="12">
      <c r="A174" s="213"/>
      <c r="C174" s="214"/>
      <c r="D174" s="214"/>
      <c r="E174" s="214"/>
    </row>
    <row r="175" spans="1:5" s="190" customFormat="1" ht="12">
      <c r="A175" s="213"/>
      <c r="C175" s="214"/>
      <c r="D175" s="214"/>
      <c r="E175" s="214"/>
    </row>
    <row r="176" spans="1:5" s="190" customFormat="1" ht="12">
      <c r="A176" s="213"/>
      <c r="C176" s="214"/>
      <c r="D176" s="214"/>
      <c r="E176" s="214"/>
    </row>
    <row r="177" spans="1:5" s="190" customFormat="1" ht="12">
      <c r="A177" s="213"/>
      <c r="C177" s="214"/>
      <c r="D177" s="214"/>
      <c r="E177" s="214"/>
    </row>
    <row r="178" spans="1:5" s="190" customFormat="1" ht="12">
      <c r="A178" s="213"/>
      <c r="C178" s="214"/>
      <c r="D178" s="214"/>
      <c r="E178" s="214"/>
    </row>
    <row r="179" spans="1:5" s="190" customFormat="1" ht="12">
      <c r="A179" s="213"/>
      <c r="C179" s="214"/>
      <c r="D179" s="214"/>
      <c r="E179" s="214"/>
    </row>
    <row r="180" spans="1:5" s="190" customFormat="1" ht="12">
      <c r="A180" s="213"/>
      <c r="C180" s="214"/>
      <c r="D180" s="214"/>
      <c r="E180" s="214"/>
    </row>
    <row r="181" spans="1:5" s="190" customFormat="1" ht="12">
      <c r="A181" s="213"/>
      <c r="C181" s="214"/>
      <c r="D181" s="214"/>
      <c r="E181" s="214"/>
    </row>
    <row r="182" spans="1:5" s="190" customFormat="1" ht="12">
      <c r="A182" s="213"/>
      <c r="C182" s="214"/>
      <c r="D182" s="214"/>
      <c r="E182" s="214"/>
    </row>
    <row r="183" spans="1:5" s="190" customFormat="1" ht="12">
      <c r="A183" s="213"/>
      <c r="C183" s="214"/>
      <c r="D183" s="214"/>
      <c r="E183" s="214"/>
    </row>
    <row r="184" spans="1:5" s="190" customFormat="1" ht="12">
      <c r="A184" s="213"/>
      <c r="C184" s="214"/>
      <c r="D184" s="214"/>
      <c r="E184" s="214"/>
    </row>
    <row r="185" spans="1:5" s="190" customFormat="1" ht="12">
      <c r="A185" s="213"/>
      <c r="C185" s="214"/>
      <c r="D185" s="214"/>
      <c r="E185" s="214"/>
    </row>
    <row r="186" spans="1:5" s="190" customFormat="1" ht="12">
      <c r="A186" s="213"/>
      <c r="C186" s="214"/>
      <c r="D186" s="214"/>
      <c r="E186" s="214"/>
    </row>
    <row r="187" spans="1:5" s="190" customFormat="1" ht="12">
      <c r="A187" s="213"/>
      <c r="C187" s="214"/>
      <c r="D187" s="214"/>
      <c r="E187" s="214"/>
    </row>
    <row r="188" spans="1:5" s="190" customFormat="1" ht="12">
      <c r="A188" s="213"/>
      <c r="C188" s="214"/>
      <c r="D188" s="214"/>
      <c r="E188" s="214"/>
    </row>
    <row r="189" spans="1:5" s="190" customFormat="1" ht="12">
      <c r="A189" s="213"/>
      <c r="C189" s="214"/>
      <c r="D189" s="214"/>
      <c r="E189" s="214"/>
    </row>
    <row r="190" spans="1:5" s="190" customFormat="1" ht="12">
      <c r="A190" s="213"/>
      <c r="C190" s="214"/>
      <c r="D190" s="214"/>
      <c r="E190" s="214"/>
    </row>
    <row r="191" spans="1:5" s="190" customFormat="1" ht="12">
      <c r="A191" s="213"/>
      <c r="C191" s="214"/>
      <c r="D191" s="214"/>
      <c r="E191" s="214"/>
    </row>
    <row r="192" spans="1:5" s="190" customFormat="1" ht="12">
      <c r="A192" s="213"/>
      <c r="C192" s="214"/>
      <c r="D192" s="214"/>
      <c r="E192" s="214"/>
    </row>
    <row r="193" spans="1:5" s="190" customFormat="1" ht="12">
      <c r="A193" s="213"/>
      <c r="C193" s="214"/>
      <c r="D193" s="214"/>
      <c r="E193" s="214"/>
    </row>
    <row r="194" spans="1:5" s="190" customFormat="1" ht="12">
      <c r="A194" s="213"/>
      <c r="C194" s="214"/>
      <c r="D194" s="214"/>
      <c r="E194" s="214"/>
    </row>
    <row r="195" spans="1:5" s="190" customFormat="1" ht="12">
      <c r="A195" s="213"/>
      <c r="C195" s="214"/>
      <c r="D195" s="214"/>
      <c r="E195" s="214"/>
    </row>
    <row r="196" spans="1:5" s="190" customFormat="1" ht="12">
      <c r="A196" s="213"/>
      <c r="C196" s="214"/>
      <c r="D196" s="214"/>
      <c r="E196" s="214"/>
    </row>
    <row r="197" spans="1:5" s="190" customFormat="1" ht="12">
      <c r="A197" s="213"/>
      <c r="C197" s="214"/>
      <c r="D197" s="214"/>
      <c r="E197" s="214"/>
    </row>
    <row r="198" spans="1:5" s="190" customFormat="1" ht="12">
      <c r="A198" s="213"/>
      <c r="C198" s="214"/>
      <c r="D198" s="214"/>
      <c r="E198" s="214"/>
    </row>
    <row r="199" spans="1:5" s="190" customFormat="1" ht="12">
      <c r="A199" s="213"/>
      <c r="C199" s="214"/>
      <c r="D199" s="214"/>
      <c r="E199" s="214"/>
    </row>
    <row r="200" spans="1:5" s="190" customFormat="1" ht="12">
      <c r="A200" s="213"/>
      <c r="C200" s="214"/>
      <c r="D200" s="214"/>
      <c r="E200" s="214"/>
    </row>
    <row r="201" spans="1:5" s="190" customFormat="1" ht="12">
      <c r="A201" s="213"/>
      <c r="C201" s="214"/>
      <c r="D201" s="214"/>
      <c r="E201" s="214"/>
    </row>
    <row r="202" spans="1:5" s="190" customFormat="1" ht="12">
      <c r="A202" s="213"/>
      <c r="C202" s="214"/>
      <c r="D202" s="214"/>
      <c r="E202" s="214"/>
    </row>
    <row r="203" spans="1:5" s="190" customFormat="1" ht="12">
      <c r="A203" s="213"/>
      <c r="C203" s="214"/>
      <c r="D203" s="214"/>
      <c r="E203" s="214"/>
    </row>
    <row r="204" spans="1:5" s="190" customFormat="1" ht="12">
      <c r="A204" s="213"/>
      <c r="C204" s="214"/>
      <c r="D204" s="214"/>
      <c r="E204" s="214"/>
    </row>
    <row r="205" spans="1:5" s="190" customFormat="1" ht="12">
      <c r="A205" s="213"/>
      <c r="C205" s="214"/>
      <c r="D205" s="214"/>
      <c r="E205" s="214"/>
    </row>
    <row r="206" spans="1:5" s="190" customFormat="1" ht="12">
      <c r="A206" s="213"/>
      <c r="C206" s="214"/>
      <c r="D206" s="214"/>
      <c r="E206" s="214"/>
    </row>
    <row r="207" spans="1:5" s="190" customFormat="1" ht="12">
      <c r="A207" s="213"/>
      <c r="C207" s="214"/>
      <c r="D207" s="214"/>
      <c r="E207" s="214"/>
    </row>
    <row r="208" spans="1:5" s="190" customFormat="1" ht="12">
      <c r="A208" s="213"/>
      <c r="C208" s="214"/>
      <c r="D208" s="214"/>
      <c r="E208" s="214"/>
    </row>
    <row r="209" spans="1:5" s="190" customFormat="1" ht="12">
      <c r="A209" s="213"/>
      <c r="C209" s="214"/>
      <c r="D209" s="214"/>
      <c r="E209" s="214"/>
    </row>
    <row r="210" spans="1:5" s="190" customFormat="1" ht="12">
      <c r="A210" s="213"/>
      <c r="C210" s="214"/>
      <c r="D210" s="214"/>
      <c r="E210" s="214"/>
    </row>
    <row r="211" spans="1:5" s="190" customFormat="1" ht="12">
      <c r="A211" s="213"/>
      <c r="C211" s="214"/>
      <c r="D211" s="214"/>
      <c r="E211" s="214"/>
    </row>
    <row r="212" spans="1:5" s="190" customFormat="1" ht="12">
      <c r="A212" s="213"/>
      <c r="C212" s="214"/>
      <c r="D212" s="214"/>
      <c r="E212" s="214"/>
    </row>
    <row r="213" spans="1:5" s="190" customFormat="1" ht="12">
      <c r="A213" s="213"/>
      <c r="C213" s="214"/>
      <c r="D213" s="214"/>
      <c r="E213" s="214"/>
    </row>
    <row r="214" spans="1:5" s="190" customFormat="1" ht="12">
      <c r="A214" s="213"/>
      <c r="C214" s="214"/>
      <c r="D214" s="214"/>
      <c r="E214" s="214"/>
    </row>
    <row r="215" spans="1:5" s="190" customFormat="1" ht="12">
      <c r="A215" s="213"/>
      <c r="C215" s="214"/>
      <c r="D215" s="214"/>
      <c r="E215" s="214"/>
    </row>
    <row r="216" spans="1:5" s="190" customFormat="1" ht="12">
      <c r="A216" s="213"/>
      <c r="C216" s="214"/>
      <c r="D216" s="214"/>
      <c r="E216" s="214"/>
    </row>
  </sheetData>
  <mergeCells count="34">
    <mergeCell ref="A148:A152"/>
    <mergeCell ref="A155:E155"/>
    <mergeCell ref="K155:L155"/>
    <mergeCell ref="A128:A132"/>
    <mergeCell ref="A133:A137"/>
    <mergeCell ref="A138:A142"/>
    <mergeCell ref="A143:A146"/>
    <mergeCell ref="A106:A110"/>
    <mergeCell ref="A111:A115"/>
    <mergeCell ref="A116:A120"/>
    <mergeCell ref="A123:A127"/>
    <mergeCell ref="A86:A90"/>
    <mergeCell ref="A91:A95"/>
    <mergeCell ref="A96:A100"/>
    <mergeCell ref="A101:A105"/>
    <mergeCell ref="A65:A69"/>
    <mergeCell ref="A70:A74"/>
    <mergeCell ref="A75:A79"/>
    <mergeCell ref="A81:A85"/>
    <mergeCell ref="A45:A49"/>
    <mergeCell ref="A50:A54"/>
    <mergeCell ref="A55:A59"/>
    <mergeCell ref="A60:A64"/>
    <mergeCell ref="A24:A28"/>
    <mergeCell ref="A29:A33"/>
    <mergeCell ref="A34:A38"/>
    <mergeCell ref="A40:A44"/>
    <mergeCell ref="A9:A13"/>
    <mergeCell ref="A14:A18"/>
    <mergeCell ref="A19:A23"/>
    <mergeCell ref="H6:L6"/>
    <mergeCell ref="A6:A7"/>
    <mergeCell ref="B6:B7"/>
    <mergeCell ref="C6:G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6" sqref="A16:D16"/>
    </sheetView>
  </sheetViews>
  <sheetFormatPr defaultColWidth="9.140625" defaultRowHeight="12.75"/>
  <cols>
    <col min="1" max="1" width="9.8515625" style="67" customWidth="1"/>
    <col min="2" max="2" width="29.140625" style="67" customWidth="1"/>
    <col min="3" max="3" width="24.7109375" style="67" customWidth="1"/>
    <col min="4" max="4" width="28.8515625" style="67" customWidth="1"/>
    <col min="5" max="5" width="16.8515625" style="67" customWidth="1"/>
    <col min="6" max="6" width="15.8515625" style="67" customWidth="1"/>
    <col min="7" max="16384" width="9.140625" style="67" customWidth="1"/>
  </cols>
  <sheetData>
    <row r="1" spans="5:6" ht="15">
      <c r="E1" s="693" t="s">
        <v>821</v>
      </c>
      <c r="F1" s="693"/>
    </row>
    <row r="3" spans="1:8" ht="19.5" customHeight="1">
      <c r="A3" s="767" t="s">
        <v>317</v>
      </c>
      <c r="B3" s="768"/>
      <c r="C3" s="768"/>
      <c r="D3" s="768"/>
      <c r="E3" s="768"/>
      <c r="F3" s="768"/>
      <c r="G3" s="69"/>
      <c r="H3" s="69"/>
    </row>
    <row r="4" spans="1:8" ht="15">
      <c r="A4" s="68"/>
      <c r="B4" s="69"/>
      <c r="C4" s="69"/>
      <c r="D4" s="69"/>
      <c r="E4" s="69"/>
      <c r="F4" s="69"/>
      <c r="G4" s="69"/>
      <c r="H4" s="69"/>
    </row>
    <row r="5" spans="1:8" ht="15">
      <c r="A5" s="769" t="s">
        <v>244</v>
      </c>
      <c r="B5" s="769"/>
      <c r="C5" s="769"/>
      <c r="D5" s="769"/>
      <c r="E5" s="769"/>
      <c r="F5" s="769"/>
      <c r="G5" s="69"/>
      <c r="H5" s="69"/>
    </row>
    <row r="6" spans="1:8" ht="15">
      <c r="A6" s="68"/>
      <c r="B6" s="69"/>
      <c r="C6" s="69"/>
      <c r="D6" s="69"/>
      <c r="E6" s="69"/>
      <c r="F6" s="70" t="s">
        <v>764</v>
      </c>
      <c r="G6" s="69"/>
      <c r="H6" s="69"/>
    </row>
    <row r="7" spans="1:6" ht="31.5" customHeight="1">
      <c r="A7" s="770" t="s">
        <v>830</v>
      </c>
      <c r="B7" s="771" t="s">
        <v>831</v>
      </c>
      <c r="C7" s="771" t="s">
        <v>832</v>
      </c>
      <c r="D7" s="771" t="s">
        <v>833</v>
      </c>
      <c r="E7" s="771" t="s">
        <v>903</v>
      </c>
      <c r="F7" s="771" t="s">
        <v>952</v>
      </c>
    </row>
    <row r="8" spans="1:6" ht="45.75" customHeight="1">
      <c r="A8" s="770"/>
      <c r="B8" s="771"/>
      <c r="C8" s="771"/>
      <c r="D8" s="771"/>
      <c r="E8" s="771"/>
      <c r="F8" s="771"/>
    </row>
    <row r="9" spans="1:6" s="1" customFormat="1" ht="12.75">
      <c r="A9" s="84">
        <v>1</v>
      </c>
      <c r="B9" s="84">
        <v>2</v>
      </c>
      <c r="C9" s="232">
        <v>3</v>
      </c>
      <c r="D9" s="232">
        <v>4</v>
      </c>
      <c r="E9" s="232">
        <v>5</v>
      </c>
      <c r="F9" s="232">
        <v>6</v>
      </c>
    </row>
    <row r="10" spans="1:6" ht="30">
      <c r="A10" s="773">
        <v>39493</v>
      </c>
      <c r="B10" s="775" t="s">
        <v>245</v>
      </c>
      <c r="C10" s="777" t="s">
        <v>246</v>
      </c>
      <c r="D10" s="233" t="s">
        <v>247</v>
      </c>
      <c r="E10" s="234">
        <v>1632</v>
      </c>
      <c r="F10" s="235">
        <v>1566</v>
      </c>
    </row>
    <row r="11" spans="1:6" ht="15">
      <c r="A11" s="774"/>
      <c r="B11" s="776"/>
      <c r="C11" s="778"/>
      <c r="D11" s="236" t="s">
        <v>248</v>
      </c>
      <c r="E11" s="237">
        <v>1000</v>
      </c>
      <c r="F11" s="238">
        <v>979</v>
      </c>
    </row>
    <row r="12" spans="1:6" ht="15">
      <c r="A12" s="781">
        <v>39597</v>
      </c>
      <c r="B12" s="775" t="s">
        <v>318</v>
      </c>
      <c r="C12" s="783" t="s">
        <v>319</v>
      </c>
      <c r="D12" s="783" t="s">
        <v>320</v>
      </c>
      <c r="E12" s="765">
        <v>35.798</v>
      </c>
      <c r="F12" s="765"/>
    </row>
    <row r="13" spans="1:6" ht="46.5" customHeight="1">
      <c r="A13" s="782"/>
      <c r="B13" s="776"/>
      <c r="C13" s="782"/>
      <c r="D13" s="782"/>
      <c r="E13" s="766"/>
      <c r="F13" s="766"/>
    </row>
    <row r="14" spans="1:6" ht="15">
      <c r="A14" s="239"/>
      <c r="B14" s="239"/>
      <c r="C14" s="239"/>
      <c r="D14" s="240"/>
      <c r="E14" s="239"/>
      <c r="F14" s="234"/>
    </row>
    <row r="15" spans="1:6" ht="15">
      <c r="A15" s="239"/>
      <c r="B15" s="239"/>
      <c r="C15" s="239"/>
      <c r="D15" s="240"/>
      <c r="E15" s="239"/>
      <c r="F15" s="234"/>
    </row>
    <row r="16" spans="1:6" ht="15">
      <c r="A16" s="779" t="s">
        <v>904</v>
      </c>
      <c r="B16" s="779"/>
      <c r="C16" s="779"/>
      <c r="D16" s="780"/>
      <c r="E16" s="222">
        <f>E10+E11+E12</f>
        <v>2667.798</v>
      </c>
      <c r="F16" s="222">
        <f>F10+F11+F12</f>
        <v>2545</v>
      </c>
    </row>
    <row r="17" spans="1:6" ht="15">
      <c r="A17" s="779" t="s">
        <v>905</v>
      </c>
      <c r="B17" s="779"/>
      <c r="C17" s="779"/>
      <c r="D17" s="780"/>
      <c r="E17" s="222">
        <f>E16-F16</f>
        <v>122.798</v>
      </c>
      <c r="F17" s="222"/>
    </row>
    <row r="20" spans="1:6" ht="16.5" customHeight="1">
      <c r="A20" s="772" t="s">
        <v>249</v>
      </c>
      <c r="B20" s="772"/>
      <c r="C20" s="772"/>
      <c r="D20" s="241"/>
      <c r="F20" s="67" t="s">
        <v>250</v>
      </c>
    </row>
    <row r="21" spans="1:2" ht="19.5" customHeight="1">
      <c r="A21" s="242"/>
      <c r="B21" s="242"/>
    </row>
  </sheetData>
  <mergeCells count="21">
    <mergeCell ref="D12:D13"/>
    <mergeCell ref="F7:F8"/>
    <mergeCell ref="A20:C20"/>
    <mergeCell ref="A10:A11"/>
    <mergeCell ref="B10:B11"/>
    <mergeCell ref="C10:C11"/>
    <mergeCell ref="A16:D16"/>
    <mergeCell ref="B12:B13"/>
    <mergeCell ref="A12:A13"/>
    <mergeCell ref="C12:C13"/>
    <mergeCell ref="A17:D17"/>
    <mergeCell ref="E12:E13"/>
    <mergeCell ref="F12:F13"/>
    <mergeCell ref="E1:F1"/>
    <mergeCell ref="A3:F3"/>
    <mergeCell ref="A5:F5"/>
    <mergeCell ref="A7:A8"/>
    <mergeCell ref="B7:B8"/>
    <mergeCell ref="C7:C8"/>
    <mergeCell ref="D7:D8"/>
    <mergeCell ref="E7:E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1" sqref="B21"/>
    </sheetView>
  </sheetViews>
  <sheetFormatPr defaultColWidth="9.140625" defaultRowHeight="12.75"/>
  <cols>
    <col min="1" max="1" width="34.00390625" style="1" customWidth="1"/>
    <col min="2" max="2" width="18.7109375" style="1" customWidth="1"/>
    <col min="3" max="3" width="15.57421875" style="1" customWidth="1"/>
    <col min="4" max="5" width="15.8515625" style="1" customWidth="1"/>
    <col min="6" max="6" width="14.140625" style="1" customWidth="1"/>
    <col min="7" max="7" width="18.421875" style="1" customWidth="1"/>
    <col min="8" max="8" width="10.28125" style="1" hidden="1" customWidth="1"/>
    <col min="9" max="9" width="0" style="1" hidden="1" customWidth="1"/>
    <col min="10" max="16384" width="9.140625" style="1" customWidth="1"/>
  </cols>
  <sheetData>
    <row r="1" spans="2:7" ht="12.75">
      <c r="B1" s="10"/>
      <c r="F1" s="693" t="s">
        <v>829</v>
      </c>
      <c r="G1" s="693"/>
    </row>
    <row r="3" spans="1:9" ht="15.75">
      <c r="A3" s="706" t="s">
        <v>627</v>
      </c>
      <c r="B3" s="787"/>
      <c r="C3" s="787"/>
      <c r="D3" s="787"/>
      <c r="E3" s="787"/>
      <c r="F3" s="787"/>
      <c r="G3" s="787"/>
      <c r="H3" s="787"/>
      <c r="I3" s="787"/>
    </row>
    <row r="4" spans="1:9" ht="32.25" customHeight="1">
      <c r="A4" s="8"/>
      <c r="B4" s="8"/>
      <c r="C4" s="8"/>
      <c r="D4" s="8"/>
      <c r="E4" s="8"/>
      <c r="F4" s="8"/>
      <c r="G4" s="47" t="s">
        <v>764</v>
      </c>
      <c r="H4" s="8"/>
      <c r="I4" s="11" t="s">
        <v>790</v>
      </c>
    </row>
    <row r="5" spans="1:9" ht="12.75">
      <c r="A5" s="786" t="s">
        <v>791</v>
      </c>
      <c r="B5" s="786" t="s">
        <v>792</v>
      </c>
      <c r="C5" s="786" t="s">
        <v>793</v>
      </c>
      <c r="D5" s="786" t="s">
        <v>794</v>
      </c>
      <c r="E5" s="786" t="s">
        <v>795</v>
      </c>
      <c r="F5" s="788"/>
      <c r="G5" s="786" t="s">
        <v>796</v>
      </c>
      <c r="H5" s="786"/>
      <c r="I5" s="784" t="s">
        <v>797</v>
      </c>
    </row>
    <row r="6" spans="1:9" ht="12.75">
      <c r="A6" s="788"/>
      <c r="B6" s="786"/>
      <c r="C6" s="788"/>
      <c r="D6" s="788"/>
      <c r="E6" s="788"/>
      <c r="F6" s="788"/>
      <c r="G6" s="786"/>
      <c r="H6" s="786"/>
      <c r="I6" s="785"/>
    </row>
    <row r="7" spans="1:9" ht="12.75">
      <c r="A7" s="788"/>
      <c r="B7" s="786"/>
      <c r="C7" s="788"/>
      <c r="D7" s="788"/>
      <c r="E7" s="786" t="s">
        <v>798</v>
      </c>
      <c r="F7" s="786" t="s">
        <v>799</v>
      </c>
      <c r="G7" s="790"/>
      <c r="H7" s="790"/>
      <c r="I7" s="785"/>
    </row>
    <row r="8" spans="1:9" ht="39.75" customHeight="1">
      <c r="A8" s="788"/>
      <c r="B8" s="786"/>
      <c r="C8" s="789"/>
      <c r="D8" s="788"/>
      <c r="E8" s="786"/>
      <c r="F8" s="786"/>
      <c r="G8" s="790"/>
      <c r="H8" s="790"/>
      <c r="I8" s="785"/>
    </row>
    <row r="9" spans="1:9" ht="12.75">
      <c r="A9" s="87">
        <v>1</v>
      </c>
      <c r="B9" s="87">
        <v>2</v>
      </c>
      <c r="C9" s="87">
        <v>3</v>
      </c>
      <c r="D9" s="87">
        <v>4</v>
      </c>
      <c r="E9" s="76">
        <v>5</v>
      </c>
      <c r="F9" s="76">
        <v>6</v>
      </c>
      <c r="G9" s="76">
        <v>7</v>
      </c>
      <c r="H9" s="76">
        <v>8</v>
      </c>
      <c r="I9" s="66">
        <v>9</v>
      </c>
    </row>
    <row r="10" spans="1:9" ht="15.75">
      <c r="A10" s="522">
        <v>0</v>
      </c>
      <c r="B10" s="522">
        <v>0</v>
      </c>
      <c r="C10" s="522">
        <v>0</v>
      </c>
      <c r="D10" s="522">
        <v>0</v>
      </c>
      <c r="E10" s="522">
        <v>0</v>
      </c>
      <c r="F10" s="522">
        <v>0</v>
      </c>
      <c r="G10" s="522">
        <v>0</v>
      </c>
      <c r="H10" s="42"/>
      <c r="I10" s="66"/>
    </row>
    <row r="11" spans="1:9" ht="15.75">
      <c r="A11" s="522">
        <v>0</v>
      </c>
      <c r="B11" s="522">
        <v>0</v>
      </c>
      <c r="C11" s="522">
        <v>0</v>
      </c>
      <c r="D11" s="522">
        <v>0</v>
      </c>
      <c r="E11" s="522">
        <v>0</v>
      </c>
      <c r="F11" s="522">
        <v>0</v>
      </c>
      <c r="G11" s="522">
        <v>0</v>
      </c>
      <c r="H11" s="42"/>
      <c r="I11" s="66"/>
    </row>
    <row r="12" spans="1:9" ht="15.75">
      <c r="A12" s="522">
        <v>0</v>
      </c>
      <c r="B12" s="522">
        <v>0</v>
      </c>
      <c r="C12" s="522">
        <v>0</v>
      </c>
      <c r="D12" s="522">
        <v>0</v>
      </c>
      <c r="E12" s="522">
        <v>0</v>
      </c>
      <c r="F12" s="522">
        <v>0</v>
      </c>
      <c r="G12" s="522">
        <v>0</v>
      </c>
      <c r="H12" s="42"/>
      <c r="I12" s="66"/>
    </row>
    <row r="13" spans="1:9" ht="15.75">
      <c r="A13" s="522">
        <v>0</v>
      </c>
      <c r="B13" s="522">
        <v>0</v>
      </c>
      <c r="C13" s="522">
        <v>0</v>
      </c>
      <c r="D13" s="522">
        <v>0</v>
      </c>
      <c r="E13" s="522">
        <v>0</v>
      </c>
      <c r="F13" s="522">
        <v>0</v>
      </c>
      <c r="G13" s="522">
        <v>0</v>
      </c>
      <c r="H13" s="42"/>
      <c r="I13" s="66"/>
    </row>
    <row r="14" spans="1:9" ht="15.75">
      <c r="A14" s="41" t="s">
        <v>800</v>
      </c>
      <c r="B14" s="42" t="s">
        <v>801</v>
      </c>
      <c r="C14" s="41"/>
      <c r="D14" s="42"/>
      <c r="E14" s="42" t="s">
        <v>801</v>
      </c>
      <c r="F14" s="42" t="s">
        <v>801</v>
      </c>
      <c r="G14" s="42"/>
      <c r="H14" s="42"/>
      <c r="I14" s="66"/>
    </row>
    <row r="15" spans="1:9" ht="15.75">
      <c r="A15" s="12"/>
      <c r="B15" s="12"/>
      <c r="C15" s="12"/>
      <c r="D15" s="13"/>
      <c r="E15" s="13"/>
      <c r="F15" s="13"/>
      <c r="G15" s="13"/>
      <c r="H15" s="13"/>
      <c r="I15" s="14"/>
    </row>
    <row r="16" spans="1:9" ht="15.75">
      <c r="A16" s="12"/>
      <c r="B16" s="12"/>
      <c r="C16" s="12"/>
      <c r="D16" s="13"/>
      <c r="E16" s="13"/>
      <c r="F16" s="13"/>
      <c r="G16" s="13"/>
      <c r="H16" s="13"/>
      <c r="I16" s="14"/>
    </row>
    <row r="17" spans="1:9" ht="15.75">
      <c r="A17" s="44" t="s">
        <v>932</v>
      </c>
      <c r="B17" s="12"/>
      <c r="C17" s="12"/>
      <c r="D17" s="13"/>
      <c r="E17" s="13"/>
      <c r="F17" s="13"/>
      <c r="G17" s="523" t="s">
        <v>1017</v>
      </c>
      <c r="H17" s="13"/>
      <c r="I17" s="14"/>
    </row>
    <row r="18" spans="1:9" ht="12.75">
      <c r="A18" s="8"/>
      <c r="B18" s="8"/>
      <c r="C18" s="8"/>
      <c r="D18" s="14"/>
      <c r="E18" s="14"/>
      <c r="F18" s="14"/>
      <c r="G18" s="14"/>
      <c r="H18" s="14"/>
      <c r="I18" s="14"/>
    </row>
    <row r="19" spans="1:9" ht="12.75">
      <c r="A19" s="8"/>
      <c r="B19" s="8"/>
      <c r="C19" s="8"/>
      <c r="D19" s="14"/>
      <c r="E19" s="14"/>
      <c r="F19" s="14"/>
      <c r="G19" s="14"/>
      <c r="H19" s="14"/>
      <c r="I19" s="14"/>
    </row>
    <row r="20" spans="1:9" ht="12.75">
      <c r="A20" s="8"/>
      <c r="B20" s="8"/>
      <c r="C20" s="8"/>
      <c r="D20" s="14"/>
      <c r="E20" s="14"/>
      <c r="F20" s="14"/>
      <c r="G20" s="14"/>
      <c r="H20" s="14"/>
      <c r="I20" s="14"/>
    </row>
    <row r="30" ht="12.75" hidden="1"/>
  </sheetData>
  <mergeCells count="11">
    <mergeCell ref="G5:H8"/>
    <mergeCell ref="I5:I8"/>
    <mergeCell ref="E7:E8"/>
    <mergeCell ref="F7:F8"/>
    <mergeCell ref="F1:G1"/>
    <mergeCell ref="A3:I3"/>
    <mergeCell ref="A5:A8"/>
    <mergeCell ref="B5:B8"/>
    <mergeCell ref="C5:C8"/>
    <mergeCell ref="D5:D8"/>
    <mergeCell ref="E5:F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B1">
      <selection activeCell="F5" sqref="F5:F7"/>
    </sheetView>
  </sheetViews>
  <sheetFormatPr defaultColWidth="9.140625" defaultRowHeight="12.75"/>
  <cols>
    <col min="1" max="1" width="0" style="3" hidden="1" customWidth="1"/>
    <col min="2" max="2" width="4.00390625" style="3" customWidth="1"/>
    <col min="3" max="3" width="31.421875" style="3" customWidth="1"/>
    <col min="4" max="4" width="10.7109375" style="3" customWidth="1"/>
    <col min="5" max="5" width="9.8515625" style="3" hidden="1" customWidth="1"/>
    <col min="6" max="6" width="9.421875" style="3" customWidth="1"/>
    <col min="7" max="7" width="9.140625" style="3" customWidth="1"/>
    <col min="8" max="8" width="7.8515625" style="3" customWidth="1"/>
    <col min="9" max="9" width="8.7109375" style="3" customWidth="1"/>
    <col min="10" max="10" width="7.8515625" style="3" customWidth="1"/>
    <col min="11" max="11" width="8.00390625" style="3" customWidth="1"/>
    <col min="12" max="12" width="9.421875" style="3" customWidth="1"/>
    <col min="13" max="13" width="8.00390625" style="3" customWidth="1"/>
    <col min="14" max="14" width="9.00390625" style="3" customWidth="1"/>
    <col min="15" max="15" width="9.421875" style="3" customWidth="1"/>
    <col min="16" max="16" width="10.421875" style="3" customWidth="1"/>
    <col min="17" max="17" width="0" style="3" hidden="1" customWidth="1"/>
    <col min="18" max="16384" width="9.140625" style="3" customWidth="1"/>
  </cols>
  <sheetData>
    <row r="1" spans="1:17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793" t="s">
        <v>906</v>
      </c>
      <c r="O1" s="794"/>
      <c r="P1" s="795"/>
      <c r="Q1" s="30"/>
    </row>
    <row r="2" spans="1:17" ht="15.75" customHeight="1">
      <c r="A2" s="30"/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</row>
    <row r="3" spans="1:17" ht="34.5" customHeight="1">
      <c r="A3" s="30"/>
      <c r="B3" s="801" t="s">
        <v>80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</row>
    <row r="4" spans="1:17" ht="16.5" customHeight="1">
      <c r="A4" s="30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805" t="s">
        <v>764</v>
      </c>
      <c r="P4" s="806"/>
      <c r="Q4" s="30"/>
    </row>
    <row r="5" spans="1:17" ht="48" customHeight="1">
      <c r="A5" s="91"/>
      <c r="B5" s="791" t="s">
        <v>743</v>
      </c>
      <c r="C5" s="802" t="s">
        <v>822</v>
      </c>
      <c r="D5" s="791" t="s">
        <v>823</v>
      </c>
      <c r="E5" s="796" t="s">
        <v>834</v>
      </c>
      <c r="F5" s="792" t="s">
        <v>979</v>
      </c>
      <c r="G5" s="791" t="s">
        <v>978</v>
      </c>
      <c r="H5" s="791"/>
      <c r="I5" s="791" t="s">
        <v>977</v>
      </c>
      <c r="J5" s="791"/>
      <c r="K5" s="796" t="s">
        <v>252</v>
      </c>
      <c r="L5" s="791" t="s">
        <v>976</v>
      </c>
      <c r="M5" s="791"/>
      <c r="N5" s="791" t="s">
        <v>824</v>
      </c>
      <c r="O5" s="791" t="s">
        <v>895</v>
      </c>
      <c r="P5" s="791" t="s">
        <v>835</v>
      </c>
      <c r="Q5" s="92"/>
    </row>
    <row r="6" spans="1:17" ht="31.5" customHeight="1">
      <c r="A6" s="91"/>
      <c r="B6" s="791"/>
      <c r="C6" s="802"/>
      <c r="D6" s="791"/>
      <c r="E6" s="803"/>
      <c r="F6" s="792"/>
      <c r="G6" s="792" t="s">
        <v>899</v>
      </c>
      <c r="H6" s="791" t="s">
        <v>900</v>
      </c>
      <c r="I6" s="791" t="s">
        <v>814</v>
      </c>
      <c r="J6" s="791" t="s">
        <v>825</v>
      </c>
      <c r="K6" s="797"/>
      <c r="L6" s="791" t="s">
        <v>826</v>
      </c>
      <c r="M6" s="791" t="s">
        <v>827</v>
      </c>
      <c r="N6" s="791"/>
      <c r="O6" s="791"/>
      <c r="P6" s="791"/>
      <c r="Q6" s="92"/>
    </row>
    <row r="7" spans="1:17" ht="33.75" customHeight="1">
      <c r="A7" s="91"/>
      <c r="B7" s="791"/>
      <c r="C7" s="802"/>
      <c r="D7" s="791"/>
      <c r="E7" s="804"/>
      <c r="F7" s="792"/>
      <c r="G7" s="792"/>
      <c r="H7" s="791"/>
      <c r="I7" s="791"/>
      <c r="J7" s="791"/>
      <c r="K7" s="798"/>
      <c r="L7" s="791"/>
      <c r="M7" s="791"/>
      <c r="N7" s="791"/>
      <c r="O7" s="791"/>
      <c r="P7" s="791"/>
      <c r="Q7" s="92"/>
    </row>
    <row r="8" spans="1:17" ht="15.75" customHeight="1">
      <c r="A8" s="31"/>
      <c r="B8" s="34">
        <v>1</v>
      </c>
      <c r="C8" s="593">
        <v>2</v>
      </c>
      <c r="D8" s="34">
        <v>3</v>
      </c>
      <c r="E8" s="34">
        <v>4</v>
      </c>
      <c r="F8" s="594">
        <v>4</v>
      </c>
      <c r="G8" s="59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2"/>
    </row>
    <row r="9" spans="1:17" ht="28.5" customHeight="1">
      <c r="A9" s="31" t="s">
        <v>828</v>
      </c>
      <c r="B9" s="595"/>
      <c r="C9" s="596" t="s">
        <v>836</v>
      </c>
      <c r="D9" s="35"/>
      <c r="E9" s="597">
        <v>0</v>
      </c>
      <c r="F9" s="598">
        <f>F10+F11</f>
        <v>23905.08</v>
      </c>
      <c r="G9" s="598">
        <f aca="true" t="shared" si="0" ref="G9:N9">G10+G11</f>
        <v>3976.17</v>
      </c>
      <c r="H9" s="598">
        <f t="shared" si="0"/>
        <v>3976.17</v>
      </c>
      <c r="I9" s="598">
        <f t="shared" si="0"/>
        <v>16021.36</v>
      </c>
      <c r="J9" s="598">
        <f t="shared" si="0"/>
        <v>4388.15</v>
      </c>
      <c r="K9" s="598">
        <f t="shared" si="0"/>
        <v>3597.52</v>
      </c>
      <c r="L9" s="598">
        <f t="shared" si="0"/>
        <v>-378.64</v>
      </c>
      <c r="M9" s="598">
        <f t="shared" si="0"/>
        <v>0</v>
      </c>
      <c r="N9" s="598">
        <f t="shared" si="0"/>
        <v>3597.52</v>
      </c>
      <c r="O9" s="599">
        <v>0</v>
      </c>
      <c r="P9" s="599">
        <v>0</v>
      </c>
      <c r="Q9" s="32"/>
    </row>
    <row r="10" spans="1:17" ht="24">
      <c r="A10" s="31">
        <v>70000000</v>
      </c>
      <c r="B10" s="595">
        <v>1</v>
      </c>
      <c r="C10" s="600" t="s">
        <v>837</v>
      </c>
      <c r="D10" s="601" t="s">
        <v>838</v>
      </c>
      <c r="E10" s="35"/>
      <c r="F10" s="602">
        <v>23905.08</v>
      </c>
      <c r="G10" s="602">
        <v>1308.15</v>
      </c>
      <c r="H10" s="603">
        <v>1308.15</v>
      </c>
      <c r="I10" s="604">
        <v>13021.356</v>
      </c>
      <c r="J10" s="604">
        <v>1388.147</v>
      </c>
      <c r="K10" s="604">
        <v>929.5035</v>
      </c>
      <c r="L10" s="603">
        <v>-378.643</v>
      </c>
      <c r="M10" s="603"/>
      <c r="N10" s="603">
        <v>929.5</v>
      </c>
      <c r="O10" s="599">
        <v>0</v>
      </c>
      <c r="P10" s="599">
        <v>0</v>
      </c>
      <c r="Q10" s="32"/>
    </row>
    <row r="11" spans="1:17" ht="25.5" customHeight="1">
      <c r="A11" s="31">
        <v>76000000</v>
      </c>
      <c r="B11" s="595">
        <v>2</v>
      </c>
      <c r="C11" s="600" t="s">
        <v>839</v>
      </c>
      <c r="D11" s="601" t="s">
        <v>838</v>
      </c>
      <c r="E11" s="35"/>
      <c r="F11" s="602"/>
      <c r="G11" s="602">
        <v>2668.02</v>
      </c>
      <c r="H11" s="603">
        <v>2668.02</v>
      </c>
      <c r="I11" s="604">
        <v>3000</v>
      </c>
      <c r="J11" s="604">
        <v>3000</v>
      </c>
      <c r="K11" s="604">
        <v>2668.018</v>
      </c>
      <c r="L11" s="603"/>
      <c r="M11" s="603"/>
      <c r="N11" s="603">
        <v>2668.02</v>
      </c>
      <c r="O11" s="599">
        <v>0</v>
      </c>
      <c r="P11" s="599">
        <v>0</v>
      </c>
      <c r="Q11" s="32"/>
    </row>
    <row r="12" spans="1:17" ht="18" customHeight="1">
      <c r="A12" s="31">
        <v>76010501</v>
      </c>
      <c r="B12" s="595"/>
      <c r="C12" s="605" t="s">
        <v>58</v>
      </c>
      <c r="D12" s="35"/>
      <c r="E12" s="597">
        <v>0</v>
      </c>
      <c r="F12" s="598">
        <v>24357.34</v>
      </c>
      <c r="G12" s="598">
        <v>3301.0070000000005</v>
      </c>
      <c r="H12" s="597">
        <v>1420.33</v>
      </c>
      <c r="I12" s="606">
        <v>16151.99</v>
      </c>
      <c r="J12" s="606">
        <v>2882.67</v>
      </c>
      <c r="K12" s="606">
        <v>1420</v>
      </c>
      <c r="L12" s="597">
        <v>0</v>
      </c>
      <c r="M12" s="597">
        <v>0.32999999999992724</v>
      </c>
      <c r="N12" s="597">
        <v>1420</v>
      </c>
      <c r="O12" s="599">
        <v>0</v>
      </c>
      <c r="P12" s="607">
        <v>462.67</v>
      </c>
      <c r="Q12" s="32"/>
    </row>
    <row r="13" spans="1:17" ht="25.5" customHeight="1">
      <c r="A13" s="31">
        <v>76010701</v>
      </c>
      <c r="B13" s="595">
        <v>3</v>
      </c>
      <c r="C13" s="600" t="s">
        <v>840</v>
      </c>
      <c r="D13" s="601" t="s">
        <v>838</v>
      </c>
      <c r="E13" s="35"/>
      <c r="F13" s="608">
        <v>20302.35</v>
      </c>
      <c r="G13" s="602">
        <v>916.037</v>
      </c>
      <c r="H13" s="603"/>
      <c r="I13" s="604">
        <v>12097</v>
      </c>
      <c r="J13" s="604">
        <v>1000</v>
      </c>
      <c r="K13" s="604"/>
      <c r="L13" s="603"/>
      <c r="M13" s="603"/>
      <c r="N13" s="603"/>
      <c r="O13" s="599">
        <v>0</v>
      </c>
      <c r="P13" s="599">
        <v>0</v>
      </c>
      <c r="Q13" s="32"/>
    </row>
    <row r="14" spans="1:17" ht="21" customHeight="1">
      <c r="A14" s="31">
        <v>76012101</v>
      </c>
      <c r="B14" s="595">
        <v>4</v>
      </c>
      <c r="C14" s="600" t="s">
        <v>841</v>
      </c>
      <c r="D14" s="601" t="s">
        <v>838</v>
      </c>
      <c r="E14" s="35"/>
      <c r="F14" s="602">
        <v>2700</v>
      </c>
      <c r="G14" s="602">
        <v>1470</v>
      </c>
      <c r="H14" s="603">
        <v>1420.33</v>
      </c>
      <c r="I14" s="604">
        <v>2700</v>
      </c>
      <c r="J14" s="604">
        <v>1420</v>
      </c>
      <c r="K14" s="604">
        <v>1420</v>
      </c>
      <c r="L14" s="603"/>
      <c r="M14" s="603">
        <v>0.32999999999992724</v>
      </c>
      <c r="N14" s="603">
        <v>1420</v>
      </c>
      <c r="O14" s="599">
        <v>0</v>
      </c>
      <c r="P14" s="599">
        <v>0</v>
      </c>
      <c r="Q14" s="32"/>
    </row>
    <row r="15" spans="1:17" ht="25.5" customHeight="1">
      <c r="A15" s="31">
        <v>76012200</v>
      </c>
      <c r="B15" s="595">
        <v>5</v>
      </c>
      <c r="C15" s="600" t="s">
        <v>842</v>
      </c>
      <c r="D15" s="601" t="s">
        <v>838</v>
      </c>
      <c r="E15" s="35"/>
      <c r="F15" s="602">
        <v>1354.99</v>
      </c>
      <c r="G15" s="602">
        <v>914.97</v>
      </c>
      <c r="H15" s="603"/>
      <c r="I15" s="604">
        <v>1354.99</v>
      </c>
      <c r="J15" s="604">
        <v>462.67</v>
      </c>
      <c r="K15" s="604"/>
      <c r="L15" s="603"/>
      <c r="M15" s="603"/>
      <c r="N15" s="603"/>
      <c r="O15" s="599">
        <v>0</v>
      </c>
      <c r="P15" s="599">
        <v>462.67</v>
      </c>
      <c r="Q15" s="32"/>
    </row>
    <row r="16" spans="2:16" ht="18" customHeight="1">
      <c r="B16" s="595"/>
      <c r="C16" s="609" t="s">
        <v>843</v>
      </c>
      <c r="D16" s="35"/>
      <c r="E16" s="35"/>
      <c r="F16" s="598">
        <v>1004.87</v>
      </c>
      <c r="G16" s="598">
        <v>12883.439</v>
      </c>
      <c r="H16" s="597">
        <v>54.725</v>
      </c>
      <c r="I16" s="606">
        <v>788.9159999999999</v>
      </c>
      <c r="J16" s="606">
        <v>79.131</v>
      </c>
      <c r="K16" s="606">
        <v>79.13094000000001</v>
      </c>
      <c r="L16" s="597">
        <v>-2475.594</v>
      </c>
      <c r="M16" s="597">
        <v>-2500</v>
      </c>
      <c r="N16" s="597">
        <v>79.13094000000001</v>
      </c>
      <c r="O16" s="599">
        <v>0</v>
      </c>
      <c r="P16" s="599">
        <v>0</v>
      </c>
    </row>
    <row r="17" spans="2:16" ht="24">
      <c r="B17" s="595">
        <v>6</v>
      </c>
      <c r="C17" s="600" t="s">
        <v>844</v>
      </c>
      <c r="D17" s="601" t="s">
        <v>838</v>
      </c>
      <c r="E17" s="35"/>
      <c r="F17" s="602"/>
      <c r="G17" s="602">
        <v>90.215</v>
      </c>
      <c r="H17" s="603">
        <v>54.725</v>
      </c>
      <c r="I17" s="604">
        <v>764.51</v>
      </c>
      <c r="J17" s="604">
        <v>54.725</v>
      </c>
      <c r="K17" s="604">
        <v>54.725</v>
      </c>
      <c r="L17" s="603"/>
      <c r="M17" s="603"/>
      <c r="N17" s="603">
        <v>54.725</v>
      </c>
      <c r="O17" s="599">
        <v>0</v>
      </c>
      <c r="P17" s="599">
        <v>0</v>
      </c>
    </row>
    <row r="18" spans="2:16" s="79" customFormat="1" ht="15.75">
      <c r="B18" s="809">
        <v>7</v>
      </c>
      <c r="C18" s="807" t="s">
        <v>845</v>
      </c>
      <c r="D18" s="601" t="s">
        <v>838</v>
      </c>
      <c r="E18" s="35"/>
      <c r="F18" s="602">
        <v>1004.87</v>
      </c>
      <c r="G18" s="602">
        <v>12793.224</v>
      </c>
      <c r="H18" s="603"/>
      <c r="I18" s="604">
        <v>24.406</v>
      </c>
      <c r="J18" s="604">
        <v>24.406</v>
      </c>
      <c r="K18" s="604">
        <v>24.40594</v>
      </c>
      <c r="L18" s="603">
        <v>24.406</v>
      </c>
      <c r="M18" s="603"/>
      <c r="N18" s="604">
        <v>24.40594</v>
      </c>
      <c r="O18" s="599">
        <v>0</v>
      </c>
      <c r="P18" s="599">
        <v>0</v>
      </c>
    </row>
    <row r="19" spans="2:16" ht="12.75">
      <c r="B19" s="810"/>
      <c r="C19" s="808"/>
      <c r="D19" s="601" t="s">
        <v>846</v>
      </c>
      <c r="E19" s="35"/>
      <c r="F19" s="602"/>
      <c r="G19" s="602"/>
      <c r="H19" s="603"/>
      <c r="I19" s="604"/>
      <c r="J19" s="604"/>
      <c r="K19" s="604"/>
      <c r="L19" s="603">
        <v>-2500</v>
      </c>
      <c r="M19" s="603">
        <v>-2500</v>
      </c>
      <c r="N19" s="603"/>
      <c r="O19" s="599">
        <v>0</v>
      </c>
      <c r="P19" s="599">
        <v>0</v>
      </c>
    </row>
    <row r="20" spans="2:16" ht="18" customHeight="1">
      <c r="B20" s="595"/>
      <c r="C20" s="611" t="s">
        <v>172</v>
      </c>
      <c r="D20" s="35"/>
      <c r="E20" s="35"/>
      <c r="F20" s="598">
        <v>217581.29</v>
      </c>
      <c r="G20" s="598">
        <v>85817.45</v>
      </c>
      <c r="H20" s="598">
        <v>19749.962</v>
      </c>
      <c r="I20" s="612">
        <v>126052.33</v>
      </c>
      <c r="J20" s="612">
        <v>54981.385590000005</v>
      </c>
      <c r="K20" s="612">
        <v>14023.949473</v>
      </c>
      <c r="L20" s="598">
        <v>1015.12</v>
      </c>
      <c r="M20" s="598">
        <v>6388.317107000002</v>
      </c>
      <c r="N20" s="598">
        <v>14376.769473</v>
      </c>
      <c r="O20" s="599">
        <v>0</v>
      </c>
      <c r="P20" s="599">
        <v>0</v>
      </c>
    </row>
    <row r="21" spans="2:16" ht="53.25" customHeight="1">
      <c r="B21" s="595">
        <v>8</v>
      </c>
      <c r="C21" s="600" t="s">
        <v>847</v>
      </c>
      <c r="D21" s="601" t="s">
        <v>838</v>
      </c>
      <c r="E21" s="35"/>
      <c r="F21" s="602">
        <v>243.05</v>
      </c>
      <c r="G21" s="602">
        <v>1248.234</v>
      </c>
      <c r="H21" s="603"/>
      <c r="I21" s="604">
        <v>85.461</v>
      </c>
      <c r="J21" s="604">
        <v>85.461</v>
      </c>
      <c r="K21" s="604">
        <v>85.4605</v>
      </c>
      <c r="L21" s="603">
        <v>85.461</v>
      </c>
      <c r="M21" s="603"/>
      <c r="N21" s="604">
        <v>85.4605</v>
      </c>
      <c r="O21" s="599" t="s">
        <v>896</v>
      </c>
      <c r="P21" s="599">
        <v>0</v>
      </c>
    </row>
    <row r="22" spans="2:16" ht="24">
      <c r="B22" s="595">
        <v>9</v>
      </c>
      <c r="C22" s="600" t="s">
        <v>848</v>
      </c>
      <c r="D22" s="601" t="s">
        <v>838</v>
      </c>
      <c r="E22" s="35"/>
      <c r="F22" s="602">
        <v>419.74</v>
      </c>
      <c r="G22" s="602">
        <v>53.25</v>
      </c>
      <c r="H22" s="603">
        <v>53.25</v>
      </c>
      <c r="I22" s="604">
        <v>235</v>
      </c>
      <c r="J22" s="604">
        <v>130</v>
      </c>
      <c r="K22" s="604">
        <v>45</v>
      </c>
      <c r="L22" s="603"/>
      <c r="M22" s="603">
        <v>8.25</v>
      </c>
      <c r="N22" s="604">
        <v>45</v>
      </c>
      <c r="O22" s="599">
        <v>0</v>
      </c>
      <c r="P22" s="599">
        <v>0</v>
      </c>
    </row>
    <row r="23" spans="2:16" ht="24">
      <c r="B23" s="595">
        <v>10</v>
      </c>
      <c r="C23" s="600" t="s">
        <v>849</v>
      </c>
      <c r="D23" s="601" t="s">
        <v>838</v>
      </c>
      <c r="E23" s="35"/>
      <c r="F23" s="602">
        <v>547.64</v>
      </c>
      <c r="G23" s="602">
        <v>51.03</v>
      </c>
      <c r="H23" s="603">
        <v>2.23</v>
      </c>
      <c r="I23" s="604">
        <v>200</v>
      </c>
      <c r="J23" s="604">
        <v>100</v>
      </c>
      <c r="K23" s="604">
        <v>2.23256</v>
      </c>
      <c r="L23" s="603"/>
      <c r="M23" s="603"/>
      <c r="N23" s="604">
        <v>2.23256</v>
      </c>
      <c r="O23" s="599">
        <v>0</v>
      </c>
      <c r="P23" s="599">
        <v>0</v>
      </c>
    </row>
    <row r="24" spans="2:16" ht="29.25" customHeight="1">
      <c r="B24" s="595">
        <v>11</v>
      </c>
      <c r="C24" s="600" t="s">
        <v>850</v>
      </c>
      <c r="D24" s="601" t="s">
        <v>838</v>
      </c>
      <c r="E24" s="35"/>
      <c r="F24" s="602">
        <v>615.43</v>
      </c>
      <c r="G24" s="602">
        <v>50.85</v>
      </c>
      <c r="H24" s="603">
        <v>50.85</v>
      </c>
      <c r="I24" s="604">
        <v>235</v>
      </c>
      <c r="J24" s="604">
        <v>130</v>
      </c>
      <c r="K24" s="604">
        <v>45</v>
      </c>
      <c r="L24" s="603"/>
      <c r="M24" s="603">
        <v>5.85</v>
      </c>
      <c r="N24" s="604">
        <v>45</v>
      </c>
      <c r="O24" s="599">
        <v>0</v>
      </c>
      <c r="P24" s="599">
        <v>0</v>
      </c>
    </row>
    <row r="25" spans="2:16" ht="24">
      <c r="B25" s="595">
        <v>12</v>
      </c>
      <c r="C25" s="600" t="s">
        <v>851</v>
      </c>
      <c r="D25" s="601" t="s">
        <v>838</v>
      </c>
      <c r="E25" s="35"/>
      <c r="F25" s="602">
        <v>439.97</v>
      </c>
      <c r="G25" s="602">
        <v>51.03</v>
      </c>
      <c r="H25" s="603">
        <v>2.23</v>
      </c>
      <c r="I25" s="604">
        <v>200</v>
      </c>
      <c r="J25" s="604">
        <v>100</v>
      </c>
      <c r="K25" s="604">
        <v>2.23256</v>
      </c>
      <c r="L25" s="603"/>
      <c r="M25" s="603"/>
      <c r="N25" s="604">
        <v>2.23256</v>
      </c>
      <c r="O25" s="599">
        <v>0</v>
      </c>
      <c r="P25" s="599">
        <v>0</v>
      </c>
    </row>
    <row r="26" spans="2:16" ht="42" customHeight="1">
      <c r="B26" s="595">
        <v>13</v>
      </c>
      <c r="C26" s="600" t="s">
        <v>852</v>
      </c>
      <c r="D26" s="601" t="s">
        <v>838</v>
      </c>
      <c r="E26" s="35"/>
      <c r="F26" s="602"/>
      <c r="G26" s="602">
        <v>4782.292</v>
      </c>
      <c r="H26" s="603"/>
      <c r="I26" s="604">
        <v>7.39</v>
      </c>
      <c r="J26" s="604">
        <v>7.39</v>
      </c>
      <c r="K26" s="604">
        <v>7.39</v>
      </c>
      <c r="L26" s="603">
        <v>7.39</v>
      </c>
      <c r="M26" s="603"/>
      <c r="N26" s="604">
        <v>7.39</v>
      </c>
      <c r="O26" s="613" t="s">
        <v>897</v>
      </c>
      <c r="P26" s="599">
        <v>0</v>
      </c>
    </row>
    <row r="27" spans="2:16" ht="36">
      <c r="B27" s="595">
        <v>14</v>
      </c>
      <c r="C27" s="600" t="s">
        <v>853</v>
      </c>
      <c r="D27" s="601" t="s">
        <v>838</v>
      </c>
      <c r="E27" s="35"/>
      <c r="F27" s="602">
        <v>224.22</v>
      </c>
      <c r="G27" s="602">
        <v>469.502</v>
      </c>
      <c r="H27" s="603"/>
      <c r="I27" s="604">
        <v>79.998</v>
      </c>
      <c r="J27" s="604"/>
      <c r="K27" s="604"/>
      <c r="L27" s="603"/>
      <c r="M27" s="603"/>
      <c r="N27" s="604"/>
      <c r="O27" s="599">
        <v>0</v>
      </c>
      <c r="P27" s="599">
        <v>0</v>
      </c>
    </row>
    <row r="28" spans="2:16" ht="36.75" customHeight="1">
      <c r="B28" s="595">
        <v>15</v>
      </c>
      <c r="C28" s="600" t="s">
        <v>854</v>
      </c>
      <c r="D28" s="601" t="s">
        <v>838</v>
      </c>
      <c r="E28" s="35"/>
      <c r="F28" s="602">
        <v>2787.03</v>
      </c>
      <c r="G28" s="602">
        <v>26761.79</v>
      </c>
      <c r="H28" s="603"/>
      <c r="I28" s="604">
        <v>53.539</v>
      </c>
      <c r="J28" s="604">
        <v>53.539</v>
      </c>
      <c r="K28" s="604">
        <v>53.539</v>
      </c>
      <c r="L28" s="603">
        <v>53.539</v>
      </c>
      <c r="M28" s="603"/>
      <c r="N28" s="604">
        <v>53.539</v>
      </c>
      <c r="O28" s="599">
        <v>0</v>
      </c>
      <c r="P28" s="599">
        <v>0</v>
      </c>
    </row>
    <row r="29" spans="2:16" ht="27.75" customHeight="1">
      <c r="B29" s="595">
        <v>16</v>
      </c>
      <c r="C29" s="600" t="s">
        <v>855</v>
      </c>
      <c r="D29" s="601" t="s">
        <v>838</v>
      </c>
      <c r="E29" s="35"/>
      <c r="F29" s="602"/>
      <c r="G29" s="602">
        <v>3600.05</v>
      </c>
      <c r="H29" s="603">
        <v>350.22</v>
      </c>
      <c r="I29" s="604">
        <v>350.218</v>
      </c>
      <c r="J29" s="604">
        <v>350.218</v>
      </c>
      <c r="K29" s="604">
        <v>350.218</v>
      </c>
      <c r="L29" s="603"/>
      <c r="M29" s="603"/>
      <c r="N29" s="604">
        <v>350.218</v>
      </c>
      <c r="O29" s="599">
        <v>0</v>
      </c>
      <c r="P29" s="599">
        <v>0</v>
      </c>
    </row>
    <row r="30" spans="2:16" ht="24">
      <c r="B30" s="595">
        <v>17</v>
      </c>
      <c r="C30" s="600" t="s">
        <v>856</v>
      </c>
      <c r="D30" s="601" t="s">
        <v>838</v>
      </c>
      <c r="E30" s="35"/>
      <c r="F30" s="602">
        <v>119659.04</v>
      </c>
      <c r="G30" s="602">
        <v>7440</v>
      </c>
      <c r="H30" s="603">
        <v>7440</v>
      </c>
      <c r="I30" s="604">
        <v>39000</v>
      </c>
      <c r="J30" s="604">
        <v>7312.5</v>
      </c>
      <c r="K30" s="604">
        <v>147.58973</v>
      </c>
      <c r="L30" s="603"/>
      <c r="M30" s="603">
        <v>7292.41027</v>
      </c>
      <c r="N30" s="604">
        <v>147.58973</v>
      </c>
      <c r="O30" s="599">
        <v>0</v>
      </c>
      <c r="P30" s="599">
        <v>0</v>
      </c>
    </row>
    <row r="31" spans="2:16" ht="12.75">
      <c r="B31" s="595">
        <v>18</v>
      </c>
      <c r="C31" s="600" t="s">
        <v>857</v>
      </c>
      <c r="D31" s="601" t="s">
        <v>838</v>
      </c>
      <c r="E31" s="35"/>
      <c r="F31" s="602">
        <v>10.15</v>
      </c>
      <c r="G31" s="602">
        <v>42.91</v>
      </c>
      <c r="H31" s="603">
        <v>10</v>
      </c>
      <c r="I31" s="604">
        <v>10.15</v>
      </c>
      <c r="J31" s="604">
        <v>10.15</v>
      </c>
      <c r="K31" s="604">
        <v>10</v>
      </c>
      <c r="L31" s="603"/>
      <c r="M31" s="603"/>
      <c r="N31" s="604">
        <v>10</v>
      </c>
      <c r="O31" s="599" t="s">
        <v>898</v>
      </c>
      <c r="P31" s="599">
        <v>0</v>
      </c>
    </row>
    <row r="32" spans="2:16" ht="72">
      <c r="B32" s="595">
        <v>19</v>
      </c>
      <c r="C32" s="600" t="s">
        <v>858</v>
      </c>
      <c r="D32" s="614" t="s">
        <v>838</v>
      </c>
      <c r="E32" s="35"/>
      <c r="F32" s="602">
        <v>32628.76</v>
      </c>
      <c r="G32" s="602">
        <v>40.377</v>
      </c>
      <c r="H32" s="603"/>
      <c r="I32" s="604">
        <v>23000</v>
      </c>
      <c r="J32" s="604">
        <v>14000</v>
      </c>
      <c r="K32" s="604"/>
      <c r="L32" s="603"/>
      <c r="M32" s="603"/>
      <c r="N32" s="604"/>
      <c r="O32" s="599">
        <v>0</v>
      </c>
      <c r="P32" s="599">
        <v>0</v>
      </c>
    </row>
    <row r="33" spans="2:16" ht="36">
      <c r="B33" s="595">
        <v>20</v>
      </c>
      <c r="C33" s="600" t="s">
        <v>859</v>
      </c>
      <c r="D33" s="601" t="s">
        <v>838</v>
      </c>
      <c r="E33" s="35"/>
      <c r="F33" s="602"/>
      <c r="G33" s="602"/>
      <c r="H33" s="603"/>
      <c r="I33" s="604">
        <v>1700</v>
      </c>
      <c r="J33" s="604"/>
      <c r="K33" s="604"/>
      <c r="L33" s="603"/>
      <c r="M33" s="603"/>
      <c r="N33" s="604"/>
      <c r="O33" s="599">
        <v>0</v>
      </c>
      <c r="P33" s="599">
        <v>0</v>
      </c>
    </row>
    <row r="34" spans="2:16" ht="36">
      <c r="B34" s="595">
        <v>21</v>
      </c>
      <c r="C34" s="600" t="s">
        <v>860</v>
      </c>
      <c r="D34" s="601" t="s">
        <v>838</v>
      </c>
      <c r="E34" s="35"/>
      <c r="F34" s="602"/>
      <c r="G34" s="602">
        <v>37.001</v>
      </c>
      <c r="H34" s="603">
        <v>37.001</v>
      </c>
      <c r="I34" s="604">
        <v>5530</v>
      </c>
      <c r="J34" s="604">
        <v>3500</v>
      </c>
      <c r="K34" s="604">
        <v>185.501</v>
      </c>
      <c r="L34" s="603"/>
      <c r="M34" s="603">
        <v>-148.5</v>
      </c>
      <c r="N34" s="604">
        <v>185.501</v>
      </c>
      <c r="O34" s="599">
        <v>0</v>
      </c>
      <c r="P34" s="599">
        <v>0</v>
      </c>
    </row>
    <row r="35" spans="2:16" ht="24">
      <c r="B35" s="595">
        <v>22</v>
      </c>
      <c r="C35" s="600" t="s">
        <v>861</v>
      </c>
      <c r="D35" s="601" t="s">
        <v>838</v>
      </c>
      <c r="E35" s="35"/>
      <c r="F35" s="602">
        <v>11354.16</v>
      </c>
      <c r="G35" s="602">
        <v>4114.93</v>
      </c>
      <c r="H35" s="603">
        <v>4114.93</v>
      </c>
      <c r="I35" s="604">
        <v>7150</v>
      </c>
      <c r="J35" s="604">
        <v>4200</v>
      </c>
      <c r="K35" s="604">
        <v>4055.01578</v>
      </c>
      <c r="L35" s="603"/>
      <c r="M35" s="603">
        <v>59.914220000000114</v>
      </c>
      <c r="N35" s="604">
        <v>4055.01578</v>
      </c>
      <c r="O35" s="599">
        <v>0</v>
      </c>
      <c r="P35" s="599">
        <v>0</v>
      </c>
    </row>
    <row r="36" spans="2:16" ht="12.75">
      <c r="B36" s="595">
        <v>23</v>
      </c>
      <c r="C36" s="600" t="s">
        <v>862</v>
      </c>
      <c r="D36" s="601" t="s">
        <v>838</v>
      </c>
      <c r="E36" s="35"/>
      <c r="F36" s="602">
        <v>4585.7</v>
      </c>
      <c r="G36" s="602">
        <v>13133.03</v>
      </c>
      <c r="H36" s="603">
        <v>571.12</v>
      </c>
      <c r="I36" s="604">
        <v>838.099</v>
      </c>
      <c r="J36" s="604">
        <v>571.12359</v>
      </c>
      <c r="K36" s="604">
        <v>571.12359</v>
      </c>
      <c r="L36" s="603"/>
      <c r="M36" s="603"/>
      <c r="N36" s="604">
        <v>571.12359</v>
      </c>
      <c r="O36" s="599">
        <v>0</v>
      </c>
      <c r="P36" s="599">
        <v>0</v>
      </c>
    </row>
    <row r="37" spans="2:16" ht="24">
      <c r="B37" s="595">
        <v>24</v>
      </c>
      <c r="C37" s="600" t="s">
        <v>863</v>
      </c>
      <c r="D37" s="601" t="s">
        <v>838</v>
      </c>
      <c r="E37" s="35"/>
      <c r="F37" s="602"/>
      <c r="G37" s="602">
        <v>690</v>
      </c>
      <c r="H37" s="603">
        <v>690</v>
      </c>
      <c r="I37" s="604">
        <v>2800</v>
      </c>
      <c r="J37" s="604">
        <v>2500</v>
      </c>
      <c r="K37" s="604">
        <v>690</v>
      </c>
      <c r="L37" s="603"/>
      <c r="M37" s="603"/>
      <c r="N37" s="604">
        <v>690</v>
      </c>
      <c r="O37" s="599">
        <v>0</v>
      </c>
      <c r="P37" s="599">
        <v>0</v>
      </c>
    </row>
    <row r="38" spans="2:16" ht="36">
      <c r="B38" s="595">
        <v>25</v>
      </c>
      <c r="C38" s="600" t="s">
        <v>864</v>
      </c>
      <c r="D38" s="601" t="s">
        <v>838</v>
      </c>
      <c r="E38" s="35"/>
      <c r="F38" s="602">
        <v>2572.84</v>
      </c>
      <c r="G38" s="602">
        <v>2397.213</v>
      </c>
      <c r="H38" s="603"/>
      <c r="I38" s="604">
        <v>602.788</v>
      </c>
      <c r="J38" s="604"/>
      <c r="K38" s="604"/>
      <c r="L38" s="603"/>
      <c r="M38" s="603"/>
      <c r="N38" s="604"/>
      <c r="O38" s="599">
        <v>0</v>
      </c>
      <c r="P38" s="599">
        <v>0</v>
      </c>
    </row>
    <row r="39" spans="2:16" ht="60">
      <c r="B39" s="595">
        <v>26</v>
      </c>
      <c r="C39" s="600" t="s">
        <v>869</v>
      </c>
      <c r="D39" s="601" t="s">
        <v>838</v>
      </c>
      <c r="E39" s="35"/>
      <c r="F39" s="602">
        <v>1179.99</v>
      </c>
      <c r="G39" s="602">
        <v>3337.52</v>
      </c>
      <c r="H39" s="603">
        <v>651.78</v>
      </c>
      <c r="I39" s="604">
        <v>1124.274</v>
      </c>
      <c r="J39" s="604">
        <v>1124.274</v>
      </c>
      <c r="K39" s="604">
        <v>651.78237</v>
      </c>
      <c r="L39" s="603"/>
      <c r="M39" s="603"/>
      <c r="N39" s="604">
        <v>651.78237</v>
      </c>
      <c r="O39" s="599">
        <v>0</v>
      </c>
      <c r="P39" s="599">
        <v>0</v>
      </c>
    </row>
    <row r="40" spans="2:16" ht="24">
      <c r="B40" s="595">
        <v>27</v>
      </c>
      <c r="C40" s="600" t="s">
        <v>870</v>
      </c>
      <c r="D40" s="601" t="s">
        <v>838</v>
      </c>
      <c r="E40" s="35"/>
      <c r="F40" s="602">
        <v>17959.26</v>
      </c>
      <c r="G40" s="602">
        <v>492.233</v>
      </c>
      <c r="H40" s="603"/>
      <c r="I40" s="604">
        <v>14000</v>
      </c>
      <c r="J40" s="604">
        <v>7563.586</v>
      </c>
      <c r="K40" s="604">
        <v>49.8429</v>
      </c>
      <c r="L40" s="603"/>
      <c r="M40" s="603">
        <v>-49.8429</v>
      </c>
      <c r="N40" s="604">
        <v>49.8429</v>
      </c>
      <c r="O40" s="599">
        <v>0</v>
      </c>
      <c r="P40" s="599">
        <v>0</v>
      </c>
    </row>
    <row r="41" spans="2:16" ht="60">
      <c r="B41" s="595">
        <v>28</v>
      </c>
      <c r="C41" s="600" t="s">
        <v>871</v>
      </c>
      <c r="D41" s="601" t="s">
        <v>838</v>
      </c>
      <c r="E41" s="35"/>
      <c r="F41" s="602">
        <v>12706.35</v>
      </c>
      <c r="G41" s="602">
        <v>102.731</v>
      </c>
      <c r="H41" s="603">
        <v>102.731</v>
      </c>
      <c r="I41" s="604">
        <v>9000</v>
      </c>
      <c r="J41" s="604">
        <v>4602.731</v>
      </c>
      <c r="K41" s="604">
        <v>122.273313</v>
      </c>
      <c r="L41" s="603"/>
      <c r="M41" s="603">
        <v>-19.542313000000007</v>
      </c>
      <c r="N41" s="604">
        <v>122.273313</v>
      </c>
      <c r="O41" s="599">
        <v>0</v>
      </c>
      <c r="P41" s="599">
        <v>0</v>
      </c>
    </row>
    <row r="42" spans="2:16" ht="36">
      <c r="B42" s="595">
        <v>29</v>
      </c>
      <c r="C42" s="600" t="s">
        <v>872</v>
      </c>
      <c r="D42" s="601" t="s">
        <v>838</v>
      </c>
      <c r="E42" s="35"/>
      <c r="F42" s="602"/>
      <c r="G42" s="602">
        <v>60.05</v>
      </c>
      <c r="H42" s="603">
        <v>60.05</v>
      </c>
      <c r="I42" s="604">
        <v>5200</v>
      </c>
      <c r="J42" s="604">
        <v>500</v>
      </c>
      <c r="K42" s="604">
        <v>60.046</v>
      </c>
      <c r="L42" s="603"/>
      <c r="M42" s="603"/>
      <c r="N42" s="604">
        <v>60.046</v>
      </c>
      <c r="O42" s="599">
        <v>0</v>
      </c>
      <c r="P42" s="599">
        <v>0</v>
      </c>
    </row>
    <row r="43" spans="2:16" ht="48">
      <c r="B43" s="595">
        <v>30</v>
      </c>
      <c r="C43" s="600" t="s">
        <v>873</v>
      </c>
      <c r="D43" s="601" t="s">
        <v>838</v>
      </c>
      <c r="E43" s="35"/>
      <c r="F43" s="602">
        <v>1390.23</v>
      </c>
      <c r="G43" s="602"/>
      <c r="H43" s="603"/>
      <c r="I43" s="604">
        <v>1300</v>
      </c>
      <c r="J43" s="604">
        <v>130</v>
      </c>
      <c r="K43" s="604"/>
      <c r="L43" s="603"/>
      <c r="M43" s="603"/>
      <c r="N43" s="604"/>
      <c r="O43" s="599">
        <v>0</v>
      </c>
      <c r="P43" s="599">
        <v>0</v>
      </c>
    </row>
    <row r="44" spans="2:16" ht="24">
      <c r="B44" s="595">
        <v>31</v>
      </c>
      <c r="C44" s="600" t="s">
        <v>874</v>
      </c>
      <c r="D44" s="601" t="s">
        <v>838</v>
      </c>
      <c r="E44" s="35"/>
      <c r="F44" s="602">
        <v>8257.73</v>
      </c>
      <c r="G44" s="602">
        <v>13437.69</v>
      </c>
      <c r="H44" s="603">
        <v>5613.57</v>
      </c>
      <c r="I44" s="604">
        <v>5840</v>
      </c>
      <c r="J44" s="604">
        <v>5840</v>
      </c>
      <c r="K44" s="604">
        <v>5604.99317</v>
      </c>
      <c r="L44" s="603"/>
      <c r="M44" s="603">
        <v>8.576829999999973</v>
      </c>
      <c r="N44" s="604">
        <v>5604.99317</v>
      </c>
      <c r="O44" s="599">
        <v>0</v>
      </c>
      <c r="P44" s="599">
        <v>0</v>
      </c>
    </row>
    <row r="45" spans="2:16" ht="24">
      <c r="B45" s="595">
        <v>32</v>
      </c>
      <c r="C45" s="600" t="s">
        <v>875</v>
      </c>
      <c r="D45" s="601" t="s">
        <v>838</v>
      </c>
      <c r="E45" s="35"/>
      <c r="F45" s="602"/>
      <c r="G45" s="602"/>
      <c r="H45" s="603"/>
      <c r="I45" s="604">
        <v>2000</v>
      </c>
      <c r="J45" s="604">
        <v>600</v>
      </c>
      <c r="K45" s="604">
        <v>360</v>
      </c>
      <c r="L45" s="603"/>
      <c r="M45" s="603">
        <v>-360</v>
      </c>
      <c r="N45" s="604">
        <v>360</v>
      </c>
      <c r="O45" s="599">
        <v>0</v>
      </c>
      <c r="P45" s="599">
        <v>0</v>
      </c>
    </row>
    <row r="46" spans="2:16" ht="24">
      <c r="B46" s="595">
        <v>33</v>
      </c>
      <c r="C46" s="600" t="s">
        <v>876</v>
      </c>
      <c r="D46" s="601" t="s">
        <v>838</v>
      </c>
      <c r="E46" s="35"/>
      <c r="F46" s="602"/>
      <c r="G46" s="602"/>
      <c r="H46" s="603"/>
      <c r="I46" s="604">
        <v>350</v>
      </c>
      <c r="J46" s="604">
        <v>105</v>
      </c>
      <c r="K46" s="604">
        <v>104.709</v>
      </c>
      <c r="L46" s="603"/>
      <c r="M46" s="603">
        <v>-104.709</v>
      </c>
      <c r="N46" s="604">
        <v>104.709</v>
      </c>
      <c r="O46" s="599">
        <v>0</v>
      </c>
      <c r="P46" s="599">
        <v>0</v>
      </c>
    </row>
    <row r="47" spans="2:16" ht="24">
      <c r="B47" s="595">
        <v>34</v>
      </c>
      <c r="C47" s="600" t="s">
        <v>877</v>
      </c>
      <c r="D47" s="601" t="s">
        <v>838</v>
      </c>
      <c r="E47" s="35"/>
      <c r="F47" s="602"/>
      <c r="G47" s="602"/>
      <c r="H47" s="603"/>
      <c r="I47" s="604">
        <v>600</v>
      </c>
      <c r="J47" s="604">
        <v>180</v>
      </c>
      <c r="K47" s="604">
        <v>180</v>
      </c>
      <c r="L47" s="603"/>
      <c r="M47" s="603">
        <v>-180</v>
      </c>
      <c r="N47" s="604">
        <v>180</v>
      </c>
      <c r="O47" s="599">
        <v>0</v>
      </c>
      <c r="P47" s="599">
        <v>0</v>
      </c>
    </row>
    <row r="48" spans="2:16" ht="24">
      <c r="B48" s="595">
        <v>35</v>
      </c>
      <c r="C48" s="600" t="s">
        <v>878</v>
      </c>
      <c r="D48" s="601" t="s">
        <v>838</v>
      </c>
      <c r="E48" s="35"/>
      <c r="F48" s="602"/>
      <c r="G48" s="602">
        <v>1388.587</v>
      </c>
      <c r="H48" s="603"/>
      <c r="I48" s="604">
        <v>111.413</v>
      </c>
      <c r="J48" s="604">
        <v>111.413</v>
      </c>
      <c r="K48" s="604"/>
      <c r="L48" s="603"/>
      <c r="M48" s="603">
        <v>0</v>
      </c>
      <c r="N48" s="604"/>
      <c r="O48" s="599">
        <v>0</v>
      </c>
      <c r="P48" s="599">
        <v>0</v>
      </c>
    </row>
    <row r="49" spans="2:16" ht="24">
      <c r="B49" s="595">
        <v>36</v>
      </c>
      <c r="C49" s="600" t="s">
        <v>879</v>
      </c>
      <c r="D49" s="601" t="s">
        <v>838</v>
      </c>
      <c r="E49" s="35"/>
      <c r="F49" s="602"/>
      <c r="G49" s="602"/>
      <c r="H49" s="603"/>
      <c r="I49" s="604">
        <v>4200</v>
      </c>
      <c r="J49" s="604">
        <v>1100</v>
      </c>
      <c r="K49" s="604">
        <v>640</v>
      </c>
      <c r="L49" s="603"/>
      <c r="M49" s="603">
        <v>-640</v>
      </c>
      <c r="N49" s="604">
        <v>640</v>
      </c>
      <c r="O49" s="599">
        <v>0</v>
      </c>
      <c r="P49" s="599">
        <v>0</v>
      </c>
    </row>
    <row r="50" spans="2:16" ht="28.5" customHeight="1">
      <c r="B50" s="595">
        <v>37</v>
      </c>
      <c r="C50" s="600" t="s">
        <v>880</v>
      </c>
      <c r="D50" s="601" t="s">
        <v>838</v>
      </c>
      <c r="E50" s="35"/>
      <c r="F50" s="602"/>
      <c r="G50" s="602"/>
      <c r="H50" s="603"/>
      <c r="I50" s="604">
        <v>249</v>
      </c>
      <c r="J50" s="604">
        <v>74</v>
      </c>
      <c r="K50" s="604"/>
      <c r="L50" s="603"/>
      <c r="M50" s="603"/>
      <c r="N50" s="604"/>
      <c r="O50" s="599">
        <v>0</v>
      </c>
      <c r="P50" s="599">
        <v>0</v>
      </c>
    </row>
    <row r="51" spans="2:16" ht="55.5" customHeight="1">
      <c r="B51" s="595">
        <v>38</v>
      </c>
      <c r="C51" s="615" t="s">
        <v>881</v>
      </c>
      <c r="D51" s="601" t="s">
        <v>882</v>
      </c>
      <c r="E51" s="35"/>
      <c r="F51" s="602"/>
      <c r="G51" s="602">
        <v>1299.11</v>
      </c>
      <c r="H51" s="603"/>
      <c r="I51" s="604"/>
      <c r="J51" s="604"/>
      <c r="K51" s="604"/>
      <c r="L51" s="603">
        <v>699.11</v>
      </c>
      <c r="M51" s="603">
        <v>514.25</v>
      </c>
      <c r="N51" s="604">
        <v>184.86</v>
      </c>
      <c r="O51" s="599">
        <v>0</v>
      </c>
      <c r="P51" s="599">
        <v>0</v>
      </c>
    </row>
    <row r="52" spans="2:16" ht="37.5" customHeight="1">
      <c r="B52" s="595">
        <v>39</v>
      </c>
      <c r="C52" s="621" t="s">
        <v>883</v>
      </c>
      <c r="D52" s="601" t="s">
        <v>882</v>
      </c>
      <c r="E52" s="35"/>
      <c r="F52" s="602"/>
      <c r="G52" s="602">
        <v>736.04</v>
      </c>
      <c r="H52" s="603"/>
      <c r="I52" s="604"/>
      <c r="J52" s="604"/>
      <c r="K52" s="604"/>
      <c r="L52" s="603">
        <v>169.62</v>
      </c>
      <c r="M52" s="603">
        <v>1.66</v>
      </c>
      <c r="N52" s="604">
        <v>167.96</v>
      </c>
      <c r="O52" s="599">
        <v>0</v>
      </c>
      <c r="P52" s="599">
        <v>0</v>
      </c>
    </row>
    <row r="53" spans="2:16" ht="36.75" customHeight="1">
      <c r="B53" s="595"/>
      <c r="C53" s="616" t="s">
        <v>183</v>
      </c>
      <c r="D53" s="35"/>
      <c r="E53" s="35"/>
      <c r="F53" s="598">
        <v>167821.49</v>
      </c>
      <c r="G53" s="598">
        <v>5554.59</v>
      </c>
      <c r="H53" s="597">
        <v>2533.42</v>
      </c>
      <c r="I53" s="597">
        <v>31771.56</v>
      </c>
      <c r="J53" s="597">
        <v>9041.70925</v>
      </c>
      <c r="K53" s="597">
        <v>5695.566449999999</v>
      </c>
      <c r="L53" s="597">
        <v>0</v>
      </c>
      <c r="M53" s="597">
        <v>-3162.149</v>
      </c>
      <c r="N53" s="597">
        <v>5695.566449999999</v>
      </c>
      <c r="O53" s="599">
        <v>0</v>
      </c>
      <c r="P53" s="599">
        <v>0</v>
      </c>
    </row>
    <row r="54" spans="2:16" ht="33.75" customHeight="1">
      <c r="B54" s="595">
        <v>40</v>
      </c>
      <c r="C54" s="600" t="s">
        <v>884</v>
      </c>
      <c r="D54" s="601" t="s">
        <v>838</v>
      </c>
      <c r="E54" s="35"/>
      <c r="F54" s="602"/>
      <c r="G54" s="602"/>
      <c r="H54" s="603"/>
      <c r="I54" s="604">
        <v>460</v>
      </c>
      <c r="J54" s="604">
        <v>138</v>
      </c>
      <c r="K54" s="604"/>
      <c r="L54" s="603"/>
      <c r="M54" s="603"/>
      <c r="N54" s="604"/>
      <c r="O54" s="599">
        <v>0</v>
      </c>
      <c r="P54" s="599">
        <v>0</v>
      </c>
    </row>
    <row r="55" spans="2:16" ht="24">
      <c r="B55" s="595">
        <v>41</v>
      </c>
      <c r="C55" s="600" t="s">
        <v>885</v>
      </c>
      <c r="D55" s="601" t="s">
        <v>838</v>
      </c>
      <c r="E55" s="35"/>
      <c r="F55" s="602"/>
      <c r="G55" s="602">
        <v>3320.14</v>
      </c>
      <c r="H55" s="603">
        <v>388.33</v>
      </c>
      <c r="I55" s="604">
        <v>478.834</v>
      </c>
      <c r="J55" s="604">
        <v>388.33</v>
      </c>
      <c r="K55" s="604">
        <v>388.33</v>
      </c>
      <c r="L55" s="603"/>
      <c r="M55" s="603"/>
      <c r="N55" s="604">
        <v>388.33</v>
      </c>
      <c r="O55" s="599">
        <v>0</v>
      </c>
      <c r="P55" s="599">
        <v>0</v>
      </c>
    </row>
    <row r="56" spans="2:16" ht="24">
      <c r="B56" s="595">
        <v>42</v>
      </c>
      <c r="C56" s="600" t="s">
        <v>886</v>
      </c>
      <c r="D56" s="601" t="s">
        <v>838</v>
      </c>
      <c r="E56" s="35"/>
      <c r="F56" s="602">
        <v>77921.84</v>
      </c>
      <c r="G56" s="602">
        <v>89.36</v>
      </c>
      <c r="H56" s="603"/>
      <c r="I56" s="604">
        <v>19521.166</v>
      </c>
      <c r="J56" s="604">
        <v>6173.8192500000005</v>
      </c>
      <c r="K56" s="604">
        <v>3162.15277</v>
      </c>
      <c r="L56" s="603"/>
      <c r="M56" s="603">
        <v>-3162.149</v>
      </c>
      <c r="N56" s="604">
        <v>3162.15277</v>
      </c>
      <c r="O56" s="599">
        <v>0</v>
      </c>
      <c r="P56" s="599">
        <v>0</v>
      </c>
    </row>
    <row r="57" spans="2:16" ht="24">
      <c r="B57" s="595">
        <v>43</v>
      </c>
      <c r="C57" s="617" t="s">
        <v>887</v>
      </c>
      <c r="D57" s="601" t="s">
        <v>838</v>
      </c>
      <c r="E57" s="35"/>
      <c r="F57" s="602">
        <v>89899.65</v>
      </c>
      <c r="G57" s="602">
        <v>1727.09</v>
      </c>
      <c r="H57" s="603">
        <v>1727.09</v>
      </c>
      <c r="I57" s="604">
        <v>10800</v>
      </c>
      <c r="J57" s="604">
        <v>1830</v>
      </c>
      <c r="K57" s="604">
        <v>1727.08568</v>
      </c>
      <c r="L57" s="603"/>
      <c r="M57" s="603"/>
      <c r="N57" s="604">
        <v>1727.08568</v>
      </c>
      <c r="O57" s="599">
        <v>0</v>
      </c>
      <c r="P57" s="599">
        <v>0</v>
      </c>
    </row>
    <row r="58" spans="2:16" ht="41.25" customHeight="1">
      <c r="B58" s="595">
        <v>44</v>
      </c>
      <c r="C58" s="600" t="s">
        <v>888</v>
      </c>
      <c r="D58" s="601" t="s">
        <v>838</v>
      </c>
      <c r="E58" s="35"/>
      <c r="F58" s="602"/>
      <c r="G58" s="602">
        <v>418</v>
      </c>
      <c r="H58" s="603">
        <v>418</v>
      </c>
      <c r="I58" s="604">
        <v>511.56</v>
      </c>
      <c r="J58" s="604">
        <v>511.56</v>
      </c>
      <c r="K58" s="604">
        <v>417.998</v>
      </c>
      <c r="L58" s="603"/>
      <c r="M58" s="603"/>
      <c r="N58" s="604">
        <v>417.998</v>
      </c>
      <c r="O58" s="599">
        <v>0</v>
      </c>
      <c r="P58" s="599">
        <v>0</v>
      </c>
    </row>
    <row r="59" spans="2:16" ht="21" customHeight="1">
      <c r="B59" s="595"/>
      <c r="C59" s="616" t="s">
        <v>201</v>
      </c>
      <c r="D59" s="35"/>
      <c r="E59" s="35"/>
      <c r="F59" s="598">
        <v>0</v>
      </c>
      <c r="G59" s="598">
        <v>0</v>
      </c>
      <c r="H59" s="597">
        <v>0</v>
      </c>
      <c r="I59" s="597">
        <v>5300</v>
      </c>
      <c r="J59" s="597">
        <v>400</v>
      </c>
      <c r="K59" s="597">
        <v>146.58</v>
      </c>
      <c r="L59" s="597">
        <v>0</v>
      </c>
      <c r="M59" s="597">
        <v>-146.58</v>
      </c>
      <c r="N59" s="597">
        <v>146.58</v>
      </c>
      <c r="O59" s="599">
        <v>0</v>
      </c>
      <c r="P59" s="599">
        <v>0</v>
      </c>
    </row>
    <row r="60" spans="2:16" ht="18.75" customHeight="1">
      <c r="B60" s="595">
        <v>45</v>
      </c>
      <c r="C60" s="626" t="s">
        <v>889</v>
      </c>
      <c r="D60" s="601" t="s">
        <v>838</v>
      </c>
      <c r="E60" s="35"/>
      <c r="F60" s="602"/>
      <c r="G60" s="602"/>
      <c r="H60" s="603"/>
      <c r="I60" s="604">
        <v>4600</v>
      </c>
      <c r="J60" s="604">
        <v>400</v>
      </c>
      <c r="K60" s="604">
        <v>146.58</v>
      </c>
      <c r="L60" s="603"/>
      <c r="M60" s="603">
        <v>-146.58</v>
      </c>
      <c r="N60" s="603">
        <v>146.58</v>
      </c>
      <c r="O60" s="599">
        <v>0</v>
      </c>
      <c r="P60" s="599">
        <v>0</v>
      </c>
    </row>
    <row r="61" spans="2:16" ht="24">
      <c r="B61" s="595">
        <v>46</v>
      </c>
      <c r="C61" s="626" t="s">
        <v>894</v>
      </c>
      <c r="D61" s="601" t="s">
        <v>838</v>
      </c>
      <c r="E61" s="35"/>
      <c r="F61" s="602"/>
      <c r="G61" s="602"/>
      <c r="H61" s="603"/>
      <c r="I61" s="604">
        <v>700</v>
      </c>
      <c r="J61" s="604"/>
      <c r="K61" s="604"/>
      <c r="L61" s="603"/>
      <c r="M61" s="603"/>
      <c r="N61" s="603"/>
      <c r="O61" s="599">
        <v>0</v>
      </c>
      <c r="P61" s="599">
        <v>0</v>
      </c>
    </row>
    <row r="62" spans="2:16" ht="12.75">
      <c r="B62" s="595"/>
      <c r="C62" s="609" t="s">
        <v>67</v>
      </c>
      <c r="D62" s="35"/>
      <c r="E62" s="597">
        <v>0</v>
      </c>
      <c r="F62" s="598">
        <v>195235.18</v>
      </c>
      <c r="G62" s="598">
        <v>43702.62</v>
      </c>
      <c r="H62" s="598">
        <v>14090.824999999999</v>
      </c>
      <c r="I62" s="598">
        <v>81691.478</v>
      </c>
      <c r="J62" s="598">
        <v>19639.888</v>
      </c>
      <c r="K62" s="598">
        <v>15844.22406</v>
      </c>
      <c r="L62" s="597">
        <v>-83.28</v>
      </c>
      <c r="M62" s="597">
        <v>-1836.680300000001</v>
      </c>
      <c r="N62" s="597">
        <v>15844.22406</v>
      </c>
      <c r="O62" s="599">
        <v>0</v>
      </c>
      <c r="P62" s="599">
        <v>0</v>
      </c>
    </row>
    <row r="63" spans="2:16" ht="24">
      <c r="B63" s="595">
        <v>47</v>
      </c>
      <c r="C63" s="626" t="s">
        <v>890</v>
      </c>
      <c r="D63" s="601" t="s">
        <v>838</v>
      </c>
      <c r="E63" s="35"/>
      <c r="F63" s="608"/>
      <c r="G63" s="602">
        <v>3998.8</v>
      </c>
      <c r="H63" s="603"/>
      <c r="I63" s="604">
        <v>481.59</v>
      </c>
      <c r="J63" s="618"/>
      <c r="K63" s="618"/>
      <c r="L63" s="603"/>
      <c r="M63" s="603"/>
      <c r="N63" s="618"/>
      <c r="O63" s="599">
        <v>0</v>
      </c>
      <c r="P63" s="599">
        <v>0</v>
      </c>
    </row>
    <row r="64" spans="2:16" ht="24">
      <c r="B64" s="610">
        <v>48</v>
      </c>
      <c r="C64" s="622" t="s">
        <v>891</v>
      </c>
      <c r="D64" s="623" t="s">
        <v>838</v>
      </c>
      <c r="E64" s="624"/>
      <c r="F64" s="625">
        <v>138374.52</v>
      </c>
      <c r="G64" s="602">
        <v>119.61</v>
      </c>
      <c r="H64" s="603"/>
      <c r="I64" s="604">
        <v>44000</v>
      </c>
      <c r="J64" s="604">
        <v>1130</v>
      </c>
      <c r="K64" s="604">
        <v>195.12</v>
      </c>
      <c r="L64" s="603"/>
      <c r="M64" s="603">
        <v>-195.12</v>
      </c>
      <c r="N64" s="604">
        <v>195.12</v>
      </c>
      <c r="O64" s="599">
        <v>0</v>
      </c>
      <c r="P64" s="599">
        <v>0</v>
      </c>
    </row>
    <row r="65" spans="2:16" ht="24">
      <c r="B65" s="595">
        <v>49</v>
      </c>
      <c r="C65" s="600" t="s">
        <v>892</v>
      </c>
      <c r="D65" s="601" t="s">
        <v>838</v>
      </c>
      <c r="E65" s="35"/>
      <c r="F65" s="602">
        <v>50585.47</v>
      </c>
      <c r="G65" s="619">
        <v>12371.1</v>
      </c>
      <c r="H65" s="603">
        <v>10013.22</v>
      </c>
      <c r="I65" s="604">
        <v>33200</v>
      </c>
      <c r="J65" s="604">
        <v>14500</v>
      </c>
      <c r="K65" s="604">
        <v>11654.7803</v>
      </c>
      <c r="L65" s="603"/>
      <c r="M65" s="603">
        <v>-1641.560300000001</v>
      </c>
      <c r="N65" s="604">
        <v>11654.7803</v>
      </c>
      <c r="O65" s="599">
        <v>0</v>
      </c>
      <c r="P65" s="599">
        <v>0</v>
      </c>
    </row>
    <row r="66" spans="2:16" ht="36">
      <c r="B66" s="595">
        <v>50</v>
      </c>
      <c r="C66" s="617" t="s">
        <v>893</v>
      </c>
      <c r="D66" s="601" t="s">
        <v>838</v>
      </c>
      <c r="E66" s="35"/>
      <c r="F66" s="602">
        <v>6275.19</v>
      </c>
      <c r="G66" s="602">
        <v>27213.11</v>
      </c>
      <c r="H66" s="603">
        <v>4077.605</v>
      </c>
      <c r="I66" s="604">
        <v>4009.888</v>
      </c>
      <c r="J66" s="604">
        <v>4009.888</v>
      </c>
      <c r="K66" s="604">
        <v>3994.32376</v>
      </c>
      <c r="L66" s="603">
        <v>-83.28</v>
      </c>
      <c r="M66" s="603"/>
      <c r="N66" s="604">
        <v>3994.32376</v>
      </c>
      <c r="O66" s="599">
        <v>0</v>
      </c>
      <c r="P66" s="599">
        <v>0</v>
      </c>
    </row>
    <row r="67" spans="2:17" ht="12.75">
      <c r="B67" s="595"/>
      <c r="C67" s="620" t="s">
        <v>380</v>
      </c>
      <c r="D67" s="35"/>
      <c r="E67" s="597">
        <v>0</v>
      </c>
      <c r="F67" s="598">
        <f>F62+F59+F53+F20+F16+F12+F9</f>
        <v>629905.25</v>
      </c>
      <c r="G67" s="598">
        <f aca="true" t="shared" si="1" ref="G67:Q67">G62+G59+G53+G20+G16+G12+G9</f>
        <v>155235.28</v>
      </c>
      <c r="H67" s="598">
        <f t="shared" si="1"/>
        <v>41825.43</v>
      </c>
      <c r="I67" s="598">
        <f t="shared" si="1"/>
        <v>277777.63</v>
      </c>
      <c r="J67" s="598">
        <f t="shared" si="1"/>
        <v>91412.93</v>
      </c>
      <c r="K67" s="598">
        <f t="shared" si="1"/>
        <v>40806.97</v>
      </c>
      <c r="L67" s="598">
        <f t="shared" si="1"/>
        <v>-1922.39</v>
      </c>
      <c r="M67" s="598">
        <f t="shared" si="1"/>
        <v>-1256.76</v>
      </c>
      <c r="N67" s="598">
        <f t="shared" si="1"/>
        <v>41159.79</v>
      </c>
      <c r="O67" s="599">
        <v>0</v>
      </c>
      <c r="P67" s="598">
        <f t="shared" si="1"/>
        <v>462.67</v>
      </c>
      <c r="Q67" s="598">
        <f t="shared" si="1"/>
        <v>0</v>
      </c>
    </row>
    <row r="70" spans="3:9" ht="15.75">
      <c r="C70" s="79" t="s">
        <v>932</v>
      </c>
      <c r="D70" s="79"/>
      <c r="E70" s="79"/>
      <c r="F70" s="79"/>
      <c r="G70" s="79"/>
      <c r="H70" s="799" t="s">
        <v>586</v>
      </c>
      <c r="I70" s="799"/>
    </row>
  </sheetData>
  <mergeCells count="25">
    <mergeCell ref="H70:I70"/>
    <mergeCell ref="B2:Q2"/>
    <mergeCell ref="B3:Q3"/>
    <mergeCell ref="B5:B7"/>
    <mergeCell ref="C5:C7"/>
    <mergeCell ref="D5:D7"/>
    <mergeCell ref="E5:E7"/>
    <mergeCell ref="O4:P4"/>
    <mergeCell ref="C18:C19"/>
    <mergeCell ref="B18:B19"/>
    <mergeCell ref="N1:P1"/>
    <mergeCell ref="J6:J7"/>
    <mergeCell ref="L6:L7"/>
    <mergeCell ref="M6:M7"/>
    <mergeCell ref="L5:M5"/>
    <mergeCell ref="N5:N7"/>
    <mergeCell ref="O5:O7"/>
    <mergeCell ref="P5:P7"/>
    <mergeCell ref="K5:K7"/>
    <mergeCell ref="G5:H5"/>
    <mergeCell ref="I5:J5"/>
    <mergeCell ref="F5:F7"/>
    <mergeCell ref="G6:G7"/>
    <mergeCell ref="H6:H7"/>
    <mergeCell ref="I6:I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B1">
      <selection activeCell="K22" sqref="K22"/>
    </sheetView>
  </sheetViews>
  <sheetFormatPr defaultColWidth="9.140625" defaultRowHeight="12.75"/>
  <cols>
    <col min="1" max="1" width="0" style="79" hidden="1" customWidth="1"/>
    <col min="2" max="2" width="4.00390625" style="79" customWidth="1"/>
    <col min="3" max="3" width="36.57421875" style="79" customWidth="1"/>
    <col min="4" max="4" width="13.00390625" style="79" customWidth="1"/>
    <col min="5" max="5" width="28.28125" style="79" hidden="1" customWidth="1"/>
    <col min="6" max="6" width="12.421875" style="79" customWidth="1"/>
    <col min="7" max="7" width="11.28125" style="79" customWidth="1"/>
    <col min="8" max="8" width="10.28125" style="79" customWidth="1"/>
    <col min="9" max="9" width="9.7109375" style="79" customWidth="1"/>
    <col min="10" max="10" width="10.57421875" style="79" customWidth="1"/>
    <col min="11" max="11" width="11.00390625" style="79" customWidth="1"/>
    <col min="12" max="12" width="15.00390625" style="79" customWidth="1"/>
    <col min="13" max="13" width="0" style="79" hidden="1" customWidth="1"/>
    <col min="14" max="16384" width="9.140625" style="79" customWidth="1"/>
  </cols>
  <sheetData>
    <row r="1" spans="1:13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763" t="s">
        <v>940</v>
      </c>
      <c r="L1" s="763"/>
      <c r="M1" s="80"/>
    </row>
    <row r="2" spans="1:13" ht="15.75" customHeight="1">
      <c r="A2" s="80"/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</row>
    <row r="3" spans="1:13" ht="30" customHeight="1">
      <c r="A3" s="80"/>
      <c r="B3" s="801" t="s">
        <v>606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</row>
    <row r="4" spans="1:13" ht="11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47" t="s">
        <v>764</v>
      </c>
      <c r="M4" s="80"/>
    </row>
    <row r="5" spans="1:13" ht="52.5" customHeight="1">
      <c r="A5" s="82"/>
      <c r="B5" s="813" t="s">
        <v>743</v>
      </c>
      <c r="C5" s="813" t="s">
        <v>941</v>
      </c>
      <c r="D5" s="815" t="s">
        <v>989</v>
      </c>
      <c r="E5" s="816"/>
      <c r="F5" s="813" t="s">
        <v>251</v>
      </c>
      <c r="G5" s="819" t="s">
        <v>986</v>
      </c>
      <c r="H5" s="819"/>
      <c r="I5" s="813" t="s">
        <v>252</v>
      </c>
      <c r="J5" s="819" t="s">
        <v>985</v>
      </c>
      <c r="K5" s="819"/>
      <c r="L5" s="813" t="s">
        <v>628</v>
      </c>
      <c r="M5" s="83"/>
    </row>
    <row r="6" spans="1:13" ht="36.75" customHeight="1">
      <c r="A6" s="82"/>
      <c r="B6" s="814"/>
      <c r="C6" s="814"/>
      <c r="D6" s="817"/>
      <c r="E6" s="818"/>
      <c r="F6" s="798"/>
      <c r="G6" s="243" t="s">
        <v>814</v>
      </c>
      <c r="H6" s="243" t="s">
        <v>815</v>
      </c>
      <c r="I6" s="798"/>
      <c r="J6" s="101" t="s">
        <v>826</v>
      </c>
      <c r="K6" s="101" t="s">
        <v>827</v>
      </c>
      <c r="L6" s="814"/>
      <c r="M6" s="83"/>
    </row>
    <row r="7" spans="1:13" s="3" customFormat="1" ht="12" customHeight="1">
      <c r="A7" s="91"/>
      <c r="B7" s="34">
        <v>1</v>
      </c>
      <c r="C7" s="34">
        <v>2</v>
      </c>
      <c r="D7" s="34">
        <v>3</v>
      </c>
      <c r="E7" s="34"/>
      <c r="F7" s="34">
        <v>4</v>
      </c>
      <c r="G7" s="519">
        <v>5</v>
      </c>
      <c r="H7" s="519">
        <v>6</v>
      </c>
      <c r="I7" s="34">
        <v>7</v>
      </c>
      <c r="J7" s="34">
        <v>8</v>
      </c>
      <c r="K7" s="34">
        <v>9</v>
      </c>
      <c r="L7" s="34">
        <v>10</v>
      </c>
      <c r="M7" s="92"/>
    </row>
    <row r="8" spans="1:13" s="3" customFormat="1" ht="15.75" customHeight="1">
      <c r="A8" s="91"/>
      <c r="B8" s="520">
        <v>1</v>
      </c>
      <c r="C8" s="513" t="s">
        <v>1018</v>
      </c>
      <c r="D8" s="515">
        <f>D9</f>
        <v>1090.18</v>
      </c>
      <c r="E8" s="515">
        <f aca="true" t="shared" si="0" ref="E8:L8">E9</f>
        <v>0</v>
      </c>
      <c r="F8" s="515">
        <f t="shared" si="0"/>
        <v>895.44</v>
      </c>
      <c r="G8" s="515">
        <f t="shared" si="0"/>
        <v>1039.5</v>
      </c>
      <c r="H8" s="515">
        <f t="shared" si="0"/>
        <v>895.44</v>
      </c>
      <c r="I8" s="515">
        <f t="shared" si="0"/>
        <v>895.44</v>
      </c>
      <c r="J8" s="515">
        <f t="shared" si="0"/>
        <v>0</v>
      </c>
      <c r="K8" s="515">
        <f t="shared" si="0"/>
        <v>0</v>
      </c>
      <c r="L8" s="515">
        <f t="shared" si="0"/>
        <v>0</v>
      </c>
      <c r="M8" s="92"/>
    </row>
    <row r="9" spans="1:13" s="3" customFormat="1" ht="15.75" customHeight="1">
      <c r="A9" s="91"/>
      <c r="B9" s="34"/>
      <c r="C9" s="514" t="s">
        <v>1019</v>
      </c>
      <c r="D9" s="93">
        <v>1090.18</v>
      </c>
      <c r="E9" s="93"/>
      <c r="F9" s="93">
        <v>895.44</v>
      </c>
      <c r="G9" s="675">
        <v>1039.5</v>
      </c>
      <c r="H9" s="675">
        <v>895.44</v>
      </c>
      <c r="I9" s="93">
        <v>895.44</v>
      </c>
      <c r="J9" s="93">
        <v>0</v>
      </c>
      <c r="K9" s="466">
        <f>F9-I9+J9</f>
        <v>0</v>
      </c>
      <c r="L9" s="93"/>
      <c r="M9" s="92"/>
    </row>
    <row r="10" spans="1:13" ht="15.75">
      <c r="A10" s="82">
        <v>70000000</v>
      </c>
      <c r="B10" s="520">
        <v>2</v>
      </c>
      <c r="C10" s="244" t="s">
        <v>253</v>
      </c>
      <c r="D10" s="516"/>
      <c r="E10" s="516">
        <f aca="true" t="shared" si="1" ref="E10:L10">E11+E12</f>
        <v>0</v>
      </c>
      <c r="F10" s="516">
        <f t="shared" si="1"/>
        <v>1493.88</v>
      </c>
      <c r="G10" s="516">
        <f t="shared" si="1"/>
        <v>5026.2</v>
      </c>
      <c r="H10" s="516">
        <f t="shared" si="1"/>
        <v>2020</v>
      </c>
      <c r="I10" s="516">
        <f t="shared" si="1"/>
        <v>0</v>
      </c>
      <c r="J10" s="516">
        <f t="shared" si="1"/>
        <v>0</v>
      </c>
      <c r="K10" s="516">
        <f t="shared" si="1"/>
        <v>1493.88</v>
      </c>
      <c r="L10" s="516">
        <f t="shared" si="1"/>
        <v>0</v>
      </c>
      <c r="M10" s="83"/>
    </row>
    <row r="11" spans="1:13" ht="15.75" hidden="1">
      <c r="A11" s="82">
        <v>76000000</v>
      </c>
      <c r="B11" s="36" t="s">
        <v>745</v>
      </c>
      <c r="C11" s="245" t="s">
        <v>254</v>
      </c>
      <c r="D11" s="666"/>
      <c r="E11" s="666"/>
      <c r="F11" s="667"/>
      <c r="G11" s="667"/>
      <c r="H11" s="667"/>
      <c r="I11" s="667"/>
      <c r="J11" s="667"/>
      <c r="K11" s="667"/>
      <c r="L11" s="667"/>
      <c r="M11" s="83"/>
    </row>
    <row r="12" spans="1:13" ht="15.75">
      <c r="A12" s="82">
        <v>76010501</v>
      </c>
      <c r="B12" s="36" t="s">
        <v>745</v>
      </c>
      <c r="C12" s="246" t="s">
        <v>718</v>
      </c>
      <c r="D12" s="668" t="s">
        <v>568</v>
      </c>
      <c r="E12" s="669"/>
      <c r="F12" s="670">
        <v>1493.88</v>
      </c>
      <c r="G12" s="670">
        <v>5026.2</v>
      </c>
      <c r="H12" s="667">
        <v>2020</v>
      </c>
      <c r="I12" s="667"/>
      <c r="J12" s="667"/>
      <c r="K12" s="671">
        <f>F12-I12+J12</f>
        <v>1493.88</v>
      </c>
      <c r="L12" s="667"/>
      <c r="M12" s="83"/>
    </row>
    <row r="13" spans="1:13" s="250" customFormat="1" ht="15.75">
      <c r="A13" s="247">
        <v>76010701</v>
      </c>
      <c r="B13" s="521">
        <v>3</v>
      </c>
      <c r="C13" s="248" t="s">
        <v>629</v>
      </c>
      <c r="D13" s="460">
        <f aca="true" t="shared" si="2" ref="D13:L13">D14</f>
        <v>24917.5</v>
      </c>
      <c r="E13" s="460">
        <f t="shared" si="2"/>
        <v>0</v>
      </c>
      <c r="F13" s="460">
        <f t="shared" si="2"/>
        <v>21617.57</v>
      </c>
      <c r="G13" s="460">
        <f t="shared" si="2"/>
        <v>30676.42</v>
      </c>
      <c r="H13" s="460">
        <f t="shared" si="2"/>
        <v>24166.82</v>
      </c>
      <c r="I13" s="460">
        <f t="shared" si="2"/>
        <v>21266.82</v>
      </c>
      <c r="J13" s="460">
        <f t="shared" si="2"/>
        <v>2461.9</v>
      </c>
      <c r="K13" s="460">
        <f t="shared" si="2"/>
        <v>2812.65</v>
      </c>
      <c r="L13" s="460">
        <f t="shared" si="2"/>
        <v>15766.82</v>
      </c>
      <c r="M13" s="249"/>
    </row>
    <row r="14" spans="1:13" ht="25.5">
      <c r="A14" s="82">
        <v>76012101</v>
      </c>
      <c r="B14" s="36" t="s">
        <v>745</v>
      </c>
      <c r="C14" s="245" t="s">
        <v>262</v>
      </c>
      <c r="D14" s="461">
        <v>24917.5</v>
      </c>
      <c r="E14" s="461"/>
      <c r="F14" s="462">
        <f>24450.4-2832.83</f>
        <v>21617.57</v>
      </c>
      <c r="G14" s="462">
        <v>30676.42</v>
      </c>
      <c r="H14" s="462">
        <v>24166.82</v>
      </c>
      <c r="I14" s="462">
        <v>21266.82</v>
      </c>
      <c r="J14" s="462">
        <v>2461.9</v>
      </c>
      <c r="K14" s="665">
        <f>F14-I14+J14</f>
        <v>2812.65</v>
      </c>
      <c r="L14" s="462">
        <v>15766.82</v>
      </c>
      <c r="M14" s="83"/>
    </row>
    <row r="15" spans="1:13" ht="15.75">
      <c r="A15" s="82">
        <v>76012200</v>
      </c>
      <c r="B15" s="520">
        <v>4</v>
      </c>
      <c r="C15" s="251" t="s">
        <v>263</v>
      </c>
      <c r="D15" s="460">
        <f>D16+D17</f>
        <v>13060.62</v>
      </c>
      <c r="E15" s="460">
        <f aca="true" t="shared" si="3" ref="E15:L15">E16+E17</f>
        <v>0</v>
      </c>
      <c r="F15" s="460">
        <f t="shared" si="3"/>
        <v>3797.4</v>
      </c>
      <c r="G15" s="460">
        <f t="shared" si="3"/>
        <v>14846.33</v>
      </c>
      <c r="H15" s="460">
        <f t="shared" si="3"/>
        <v>7104.6</v>
      </c>
      <c r="I15" s="460">
        <f t="shared" si="3"/>
        <v>6192.35</v>
      </c>
      <c r="J15" s="460">
        <f t="shared" si="3"/>
        <v>511.9</v>
      </c>
      <c r="K15" s="460">
        <f t="shared" si="3"/>
        <v>-1883.05</v>
      </c>
      <c r="L15" s="460">
        <f t="shared" si="3"/>
        <v>1609.32</v>
      </c>
      <c r="M15" s="83"/>
    </row>
    <row r="16" spans="2:12" ht="25.5">
      <c r="B16" s="517"/>
      <c r="C16" s="245" t="s">
        <v>262</v>
      </c>
      <c r="D16" s="463">
        <v>13060.62</v>
      </c>
      <c r="E16" s="463"/>
      <c r="F16" s="463">
        <v>3797.4</v>
      </c>
      <c r="G16" s="463">
        <v>14551.33</v>
      </c>
      <c r="H16" s="463">
        <v>7104.6</v>
      </c>
      <c r="I16" s="463">
        <v>6192.35</v>
      </c>
      <c r="J16" s="463">
        <v>511.9</v>
      </c>
      <c r="K16" s="665">
        <f>F16-I16+J16</f>
        <v>-1883.05</v>
      </c>
      <c r="L16" s="463">
        <v>1609.32</v>
      </c>
    </row>
    <row r="17" spans="2:12" ht="15.75">
      <c r="B17" s="517"/>
      <c r="C17" s="246" t="s">
        <v>718</v>
      </c>
      <c r="D17" s="463"/>
      <c r="E17" s="463"/>
      <c r="F17" s="463"/>
      <c r="G17" s="463">
        <v>295</v>
      </c>
      <c r="H17" s="463">
        <v>0</v>
      </c>
      <c r="I17" s="463"/>
      <c r="J17" s="463"/>
      <c r="K17" s="463"/>
      <c r="L17" s="463"/>
    </row>
    <row r="18" spans="2:12" ht="15.75">
      <c r="B18" s="518">
        <v>5</v>
      </c>
      <c r="C18" s="251" t="s">
        <v>264</v>
      </c>
      <c r="D18" s="464">
        <f aca="true" t="shared" si="4" ref="D18:L18">D19</f>
        <v>10888.84</v>
      </c>
      <c r="E18" s="465">
        <f t="shared" si="4"/>
        <v>0</v>
      </c>
      <c r="F18" s="464">
        <f t="shared" si="4"/>
        <v>8388.84</v>
      </c>
      <c r="G18" s="464">
        <f t="shared" si="4"/>
        <v>14551.12</v>
      </c>
      <c r="H18" s="464">
        <f t="shared" si="4"/>
        <v>7620</v>
      </c>
      <c r="I18" s="464">
        <f t="shared" si="4"/>
        <v>5743.36</v>
      </c>
      <c r="J18" s="465">
        <f t="shared" si="4"/>
        <v>0</v>
      </c>
      <c r="K18" s="465">
        <f t="shared" si="4"/>
        <v>2645.48</v>
      </c>
      <c r="L18" s="465">
        <f t="shared" si="4"/>
        <v>0</v>
      </c>
    </row>
    <row r="19" spans="2:12" ht="15.75">
      <c r="B19" s="518"/>
      <c r="C19" s="246" t="s">
        <v>718</v>
      </c>
      <c r="D19" s="466">
        <v>10888.84</v>
      </c>
      <c r="E19" s="252"/>
      <c r="F19" s="466">
        <v>8388.84</v>
      </c>
      <c r="G19" s="466">
        <v>14551.12</v>
      </c>
      <c r="H19" s="466">
        <v>7620</v>
      </c>
      <c r="I19" s="466">
        <v>5743.36</v>
      </c>
      <c r="J19" s="678"/>
      <c r="K19" s="254">
        <f>F19-I19+J19</f>
        <v>2645.48</v>
      </c>
      <c r="L19" s="252"/>
    </row>
    <row r="20" spans="2:12" ht="15.75">
      <c r="B20" s="518">
        <v>6</v>
      </c>
      <c r="C20" s="251" t="s">
        <v>630</v>
      </c>
      <c r="D20" s="254">
        <f aca="true" t="shared" si="5" ref="D20:L20">D21</f>
        <v>6030</v>
      </c>
      <c r="E20" s="254">
        <f t="shared" si="5"/>
        <v>0</v>
      </c>
      <c r="F20" s="254">
        <f t="shared" si="5"/>
        <v>2832.83</v>
      </c>
      <c r="G20" s="254">
        <f t="shared" si="5"/>
        <v>11319</v>
      </c>
      <c r="H20" s="254">
        <f t="shared" si="5"/>
        <v>4034</v>
      </c>
      <c r="I20" s="254">
        <f t="shared" si="5"/>
        <v>2832.83</v>
      </c>
      <c r="J20" s="254">
        <f t="shared" si="5"/>
        <v>0</v>
      </c>
      <c r="K20" s="254">
        <f>K21</f>
        <v>0</v>
      </c>
      <c r="L20" s="254">
        <f t="shared" si="5"/>
        <v>0</v>
      </c>
    </row>
    <row r="21" spans="2:12" ht="25.5">
      <c r="B21" s="518"/>
      <c r="C21" s="245" t="s">
        <v>262</v>
      </c>
      <c r="D21" s="254">
        <v>6030</v>
      </c>
      <c r="E21" s="252"/>
      <c r="F21" s="254">
        <v>2832.83</v>
      </c>
      <c r="G21" s="466">
        <f>9469+1850</f>
        <v>11319</v>
      </c>
      <c r="H21" s="254">
        <f>3734+300</f>
        <v>4034</v>
      </c>
      <c r="I21" s="254">
        <v>2832.83</v>
      </c>
      <c r="J21" s="252"/>
      <c r="K21" s="254">
        <f>F21-I21+J21</f>
        <v>0</v>
      </c>
      <c r="L21" s="252"/>
    </row>
    <row r="22" spans="2:12" ht="15.75">
      <c r="B22" s="518">
        <v>7</v>
      </c>
      <c r="C22" s="255" t="s">
        <v>265</v>
      </c>
      <c r="D22" s="464">
        <f aca="true" t="shared" si="6" ref="D22:L22">D23+D24+D25</f>
        <v>111124.29</v>
      </c>
      <c r="E22" s="464">
        <f t="shared" si="6"/>
        <v>0</v>
      </c>
      <c r="F22" s="464">
        <f t="shared" si="6"/>
        <v>5440.1</v>
      </c>
      <c r="G22" s="464">
        <f>G23+G24+G25</f>
        <v>91393.4</v>
      </c>
      <c r="H22" s="464">
        <f>H23+H24+H25</f>
        <v>35401.97</v>
      </c>
      <c r="I22" s="464">
        <f>I23+I24+I25</f>
        <v>23382.18</v>
      </c>
      <c r="J22" s="464">
        <f>J23+J24+J25</f>
        <v>16.92</v>
      </c>
      <c r="K22" s="465">
        <f t="shared" si="6"/>
        <v>-0.0199999999999818</v>
      </c>
      <c r="L22" s="465">
        <f t="shared" si="6"/>
        <v>0</v>
      </c>
    </row>
    <row r="23" spans="2:12" ht="15.75">
      <c r="B23" s="518"/>
      <c r="C23" s="246" t="s">
        <v>45</v>
      </c>
      <c r="D23" s="466">
        <v>73593.4</v>
      </c>
      <c r="E23" s="254"/>
      <c r="F23" s="466">
        <v>2430.5</v>
      </c>
      <c r="G23" s="466">
        <f>18424+55169.4</f>
        <v>73593.4</v>
      </c>
      <c r="H23" s="466">
        <v>27708.22</v>
      </c>
      <c r="I23" s="466">
        <v>20355.64</v>
      </c>
      <c r="J23" s="254"/>
      <c r="K23" s="466"/>
      <c r="L23" s="254"/>
    </row>
    <row r="24" spans="2:12" ht="15.75">
      <c r="B24" s="518"/>
      <c r="C24" s="246" t="s">
        <v>718</v>
      </c>
      <c r="D24" s="466">
        <v>26939.79</v>
      </c>
      <c r="E24" s="252"/>
      <c r="F24" s="466">
        <v>0</v>
      </c>
      <c r="G24" s="466">
        <v>4800</v>
      </c>
      <c r="H24" s="466">
        <v>1335</v>
      </c>
      <c r="I24" s="466">
        <v>16.92</v>
      </c>
      <c r="J24" s="466">
        <v>16.92</v>
      </c>
      <c r="K24" s="466">
        <f>F24-I24+J24</f>
        <v>0</v>
      </c>
      <c r="L24" s="252"/>
    </row>
    <row r="25" spans="2:12" ht="15.75">
      <c r="B25" s="518"/>
      <c r="C25" s="246" t="s">
        <v>266</v>
      </c>
      <c r="D25" s="466">
        <v>10591.1</v>
      </c>
      <c r="E25" s="466"/>
      <c r="F25" s="466">
        <v>3009.6</v>
      </c>
      <c r="G25" s="466">
        <v>13000</v>
      </c>
      <c r="H25" s="466">
        <v>6358.75</v>
      </c>
      <c r="I25" s="466">
        <v>3009.62</v>
      </c>
      <c r="J25" s="252"/>
      <c r="K25" s="254">
        <f>F25-I25+J25</f>
        <v>-0.0199999999999818</v>
      </c>
      <c r="L25" s="252"/>
    </row>
    <row r="26" spans="2:12" ht="15.75">
      <c r="B26" s="518">
        <v>8</v>
      </c>
      <c r="C26" s="256" t="s">
        <v>267</v>
      </c>
      <c r="D26" s="464">
        <f aca="true" t="shared" si="7" ref="D26:L26">D27</f>
        <v>5502</v>
      </c>
      <c r="E26" s="464">
        <f t="shared" si="7"/>
        <v>0</v>
      </c>
      <c r="F26" s="464">
        <f t="shared" si="7"/>
        <v>5502</v>
      </c>
      <c r="G26" s="464">
        <f t="shared" si="7"/>
        <v>38205.02</v>
      </c>
      <c r="H26" s="464">
        <f t="shared" si="7"/>
        <v>11705.02</v>
      </c>
      <c r="I26" s="464">
        <f t="shared" si="7"/>
        <v>5052.02</v>
      </c>
      <c r="J26" s="465">
        <f t="shared" si="7"/>
        <v>0</v>
      </c>
      <c r="K26" s="254">
        <f>F26-I26+J26</f>
        <v>449.98</v>
      </c>
      <c r="L26" s="465">
        <f t="shared" si="7"/>
        <v>0</v>
      </c>
    </row>
    <row r="27" spans="2:12" ht="15.75">
      <c r="B27" s="253"/>
      <c r="C27" s="257" t="s">
        <v>268</v>
      </c>
      <c r="D27" s="466">
        <v>5502</v>
      </c>
      <c r="E27" s="466"/>
      <c r="F27" s="466">
        <v>5502</v>
      </c>
      <c r="G27" s="466">
        <v>38205.02</v>
      </c>
      <c r="H27" s="466">
        <v>11705.02</v>
      </c>
      <c r="I27" s="466">
        <v>5052.02</v>
      </c>
      <c r="J27" s="254"/>
      <c r="K27" s="672">
        <f>F27-I27+J27</f>
        <v>449.98</v>
      </c>
      <c r="L27" s="254"/>
    </row>
    <row r="28" spans="1:14" s="262" customFormat="1" ht="12.75">
      <c r="A28" s="258">
        <v>76012101</v>
      </c>
      <c r="B28" s="259"/>
      <c r="C28" s="260" t="s">
        <v>820</v>
      </c>
      <c r="D28" s="467">
        <f>D8+D10+D13+D15+D18+D20+D22+D26</f>
        <v>172613.43</v>
      </c>
      <c r="E28" s="467">
        <f>E8+E10+E13+E15+E18+E20+E22+E26</f>
        <v>0</v>
      </c>
      <c r="F28" s="467">
        <f>F8+F10+F13+F15+F18+F20+F22+F26</f>
        <v>49968.06</v>
      </c>
      <c r="G28" s="467">
        <f aca="true" t="shared" si="8" ref="G28:L28">G8+G13+G15+G18+G20+G22+G26+G10</f>
        <v>207056.99</v>
      </c>
      <c r="H28" s="467">
        <f t="shared" si="8"/>
        <v>92947.85</v>
      </c>
      <c r="I28" s="467">
        <f t="shared" si="8"/>
        <v>65365</v>
      </c>
      <c r="J28" s="467">
        <f t="shared" si="8"/>
        <v>2990.72</v>
      </c>
      <c r="K28" s="467">
        <f t="shared" si="8"/>
        <v>5518.92</v>
      </c>
      <c r="L28" s="467">
        <f t="shared" si="8"/>
        <v>17376.14</v>
      </c>
      <c r="M28" s="261">
        <f>SUM(M6:M27)</f>
        <v>0</v>
      </c>
      <c r="N28" s="673"/>
    </row>
    <row r="29" s="46" customFormat="1" ht="15"/>
    <row r="30" spans="2:13" s="46" customFormat="1" ht="15.75">
      <c r="B30" s="812" t="s">
        <v>762</v>
      </c>
      <c r="C30" s="812"/>
      <c r="D30" s="812"/>
      <c r="G30" s="674"/>
      <c r="H30" s="104" t="s">
        <v>269</v>
      </c>
      <c r="K30" s="25"/>
      <c r="L30" s="104"/>
      <c r="M30" s="46" t="s">
        <v>270</v>
      </c>
    </row>
  </sheetData>
  <mergeCells count="12">
    <mergeCell ref="I5:I6"/>
    <mergeCell ref="J5:K5"/>
    <mergeCell ref="K1:L1"/>
    <mergeCell ref="B2:M2"/>
    <mergeCell ref="B3:M3"/>
    <mergeCell ref="B30:D30"/>
    <mergeCell ref="L5:L6"/>
    <mergeCell ref="B5:B6"/>
    <mergeCell ref="C5:C6"/>
    <mergeCell ref="D5:E6"/>
    <mergeCell ref="F5:F6"/>
    <mergeCell ref="G5:H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4" sqref="B34"/>
    </sheetView>
  </sheetViews>
  <sheetFormatPr defaultColWidth="9.140625" defaultRowHeight="12.75"/>
  <cols>
    <col min="1" max="1" width="7.421875" style="13" customWidth="1"/>
    <col min="2" max="2" width="39.140625" style="12" customWidth="1"/>
    <col min="3" max="3" width="15.140625" style="13" customWidth="1"/>
    <col min="4" max="4" width="15.00390625" style="13" customWidth="1"/>
    <col min="5" max="5" width="14.8515625" style="13" customWidth="1"/>
    <col min="6" max="16384" width="9.140625" style="12" customWidth="1"/>
  </cols>
  <sheetData>
    <row r="1" spans="2:5" ht="15.75">
      <c r="B1" s="693" t="s">
        <v>909</v>
      </c>
      <c r="C1" s="693"/>
      <c r="D1" s="693"/>
      <c r="E1" s="693"/>
    </row>
    <row r="3" spans="1:5" ht="46.5" customHeight="1">
      <c r="A3" s="820" t="s">
        <v>353</v>
      </c>
      <c r="B3" s="820"/>
      <c r="C3" s="820"/>
      <c r="D3" s="820"/>
      <c r="E3" s="820"/>
    </row>
    <row r="4" spans="4:5" ht="15.75">
      <c r="D4" s="821" t="s">
        <v>764</v>
      </c>
      <c r="E4" s="821"/>
    </row>
    <row r="5" spans="1:5" ht="15.75">
      <c r="A5" s="679" t="s">
        <v>743</v>
      </c>
      <c r="B5" s="822" t="s">
        <v>911</v>
      </c>
      <c r="C5" s="823" t="s">
        <v>1028</v>
      </c>
      <c r="D5" s="824" t="s">
        <v>748</v>
      </c>
      <c r="E5" s="824"/>
    </row>
    <row r="6" spans="1:5" ht="124.5" customHeight="1">
      <c r="A6" s="679"/>
      <c r="B6" s="822"/>
      <c r="C6" s="823"/>
      <c r="D6" s="78" t="s">
        <v>1029</v>
      </c>
      <c r="E6" s="78" t="s">
        <v>1030</v>
      </c>
    </row>
    <row r="7" spans="1:5" s="3" customFormat="1" ht="12.75">
      <c r="A7" s="40">
        <v>1</v>
      </c>
      <c r="B7" s="40">
        <v>2</v>
      </c>
      <c r="C7" s="40">
        <v>3</v>
      </c>
      <c r="D7" s="78">
        <v>4</v>
      </c>
      <c r="E7" s="51">
        <v>5</v>
      </c>
    </row>
    <row r="8" spans="1:5" s="103" customFormat="1" ht="20.25" customHeight="1">
      <c r="A8" s="572"/>
      <c r="B8" s="573" t="s">
        <v>942</v>
      </c>
      <c r="C8" s="577">
        <f>SUM(C10:C35)</f>
        <v>279052.7</v>
      </c>
      <c r="D8" s="577">
        <f>SUM(D10:D35)</f>
        <v>14764.4</v>
      </c>
      <c r="E8" s="577">
        <f>SUM(E10:E35)</f>
        <v>9629.7</v>
      </c>
    </row>
    <row r="9" spans="1:5" ht="15.75">
      <c r="A9" s="42"/>
      <c r="B9" s="574" t="s">
        <v>912</v>
      </c>
      <c r="C9" s="575"/>
      <c r="D9" s="575"/>
      <c r="E9" s="578"/>
    </row>
    <row r="10" spans="1:5" ht="15.75">
      <c r="A10" s="42">
        <v>1</v>
      </c>
      <c r="B10" s="574" t="s">
        <v>1031</v>
      </c>
      <c r="C10" s="575">
        <v>199158.3</v>
      </c>
      <c r="D10" s="575">
        <v>14269.8</v>
      </c>
      <c r="E10" s="578">
        <v>8829.1</v>
      </c>
    </row>
    <row r="11" spans="1:5" ht="15.75">
      <c r="A11" s="42">
        <v>2</v>
      </c>
      <c r="B11" s="576" t="s">
        <v>1032</v>
      </c>
      <c r="C11" s="575">
        <v>1428.1</v>
      </c>
      <c r="D11" s="575">
        <v>45</v>
      </c>
      <c r="E11" s="578">
        <v>41.5</v>
      </c>
    </row>
    <row r="12" spans="1:5" ht="15.75">
      <c r="A12" s="42">
        <v>3</v>
      </c>
      <c r="B12" s="576" t="s">
        <v>1033</v>
      </c>
      <c r="C12" s="575">
        <v>2409.9</v>
      </c>
      <c r="D12" s="578">
        <v>0</v>
      </c>
      <c r="E12" s="578">
        <v>25.8</v>
      </c>
    </row>
    <row r="13" spans="1:5" ht="15.75">
      <c r="A13" s="42">
        <v>4</v>
      </c>
      <c r="B13" s="576" t="s">
        <v>1034</v>
      </c>
      <c r="C13" s="575">
        <v>4861.7</v>
      </c>
      <c r="D13" s="578">
        <v>38.9</v>
      </c>
      <c r="E13" s="578">
        <v>197.4</v>
      </c>
    </row>
    <row r="14" spans="1:5" ht="15.75">
      <c r="A14" s="42">
        <v>5</v>
      </c>
      <c r="B14" s="576" t="s">
        <v>1035</v>
      </c>
      <c r="C14" s="575">
        <v>796.6</v>
      </c>
      <c r="D14" s="578">
        <v>2.2</v>
      </c>
      <c r="E14" s="578">
        <v>69</v>
      </c>
    </row>
    <row r="15" spans="1:5" ht="15.75">
      <c r="A15" s="42">
        <v>6</v>
      </c>
      <c r="B15" s="576" t="s">
        <v>1036</v>
      </c>
      <c r="C15" s="575">
        <v>14947.6</v>
      </c>
      <c r="D15" s="578">
        <v>31.5</v>
      </c>
      <c r="E15" s="578">
        <v>8.1</v>
      </c>
    </row>
    <row r="16" spans="1:5" ht="15.75">
      <c r="A16" s="42">
        <v>7</v>
      </c>
      <c r="B16" s="576" t="s">
        <v>1037</v>
      </c>
      <c r="C16" s="575">
        <v>734.3</v>
      </c>
      <c r="D16" s="578">
        <v>0</v>
      </c>
      <c r="E16" s="578">
        <v>19.1</v>
      </c>
    </row>
    <row r="17" spans="1:5" ht="15.75">
      <c r="A17" s="42">
        <v>8</v>
      </c>
      <c r="B17" s="576" t="s">
        <v>1038</v>
      </c>
      <c r="C17" s="575">
        <v>775.1</v>
      </c>
      <c r="D17" s="578">
        <v>42.2</v>
      </c>
      <c r="E17" s="578">
        <v>63.7</v>
      </c>
    </row>
    <row r="18" spans="1:5" ht="15.75">
      <c r="A18" s="42">
        <v>9</v>
      </c>
      <c r="B18" s="576" t="s">
        <v>1040</v>
      </c>
      <c r="C18" s="575">
        <v>119.2</v>
      </c>
      <c r="D18" s="578">
        <v>90</v>
      </c>
      <c r="E18" s="578">
        <v>3.8</v>
      </c>
    </row>
    <row r="19" spans="1:5" ht="15.75">
      <c r="A19" s="42">
        <v>10</v>
      </c>
      <c r="B19" s="576" t="s">
        <v>1041</v>
      </c>
      <c r="C19" s="575">
        <v>395.7</v>
      </c>
      <c r="D19" s="578">
        <v>10.7</v>
      </c>
      <c r="E19" s="578"/>
    </row>
    <row r="20" spans="1:5" ht="15.75">
      <c r="A20" s="42">
        <v>11</v>
      </c>
      <c r="B20" s="576" t="s">
        <v>1042</v>
      </c>
      <c r="C20" s="575">
        <v>3273.3</v>
      </c>
      <c r="D20" s="578">
        <v>29</v>
      </c>
      <c r="E20" s="578">
        <v>56.1</v>
      </c>
    </row>
    <row r="21" spans="1:5" ht="15.75">
      <c r="A21" s="42">
        <v>12</v>
      </c>
      <c r="B21" s="576" t="s">
        <v>1043</v>
      </c>
      <c r="C21" s="575">
        <v>628.5</v>
      </c>
      <c r="D21" s="578">
        <v>3.9</v>
      </c>
      <c r="E21" s="578">
        <v>12.8</v>
      </c>
    </row>
    <row r="22" spans="1:5" ht="15.75">
      <c r="A22" s="42">
        <v>13</v>
      </c>
      <c r="B22" s="576" t="s">
        <v>1044</v>
      </c>
      <c r="C22" s="575">
        <v>346.9</v>
      </c>
      <c r="D22" s="578">
        <v>6.3</v>
      </c>
      <c r="E22" s="578">
        <v>3.3</v>
      </c>
    </row>
    <row r="23" spans="1:5" ht="15.75">
      <c r="A23" s="42">
        <v>14</v>
      </c>
      <c r="B23" s="576" t="s">
        <v>1045</v>
      </c>
      <c r="C23" s="575">
        <v>7693.9</v>
      </c>
      <c r="D23" s="578">
        <v>12</v>
      </c>
      <c r="E23" s="578">
        <v>18.3</v>
      </c>
    </row>
    <row r="24" spans="1:5" ht="15.75">
      <c r="A24" s="42">
        <v>15</v>
      </c>
      <c r="B24" s="576" t="s">
        <v>1046</v>
      </c>
      <c r="C24" s="575">
        <v>1053.2</v>
      </c>
      <c r="D24" s="578">
        <v>21.4</v>
      </c>
      <c r="E24" s="578">
        <v>4.4</v>
      </c>
    </row>
    <row r="25" spans="1:5" ht="15.75">
      <c r="A25" s="42">
        <v>16</v>
      </c>
      <c r="B25" s="576" t="s">
        <v>1047</v>
      </c>
      <c r="C25" s="575">
        <v>334.6</v>
      </c>
      <c r="D25" s="578">
        <v>11.2</v>
      </c>
      <c r="E25" s="578">
        <v>47.6</v>
      </c>
    </row>
    <row r="26" spans="1:5" ht="15.75">
      <c r="A26" s="42">
        <v>17</v>
      </c>
      <c r="B26" s="576" t="s">
        <v>1048</v>
      </c>
      <c r="C26" s="575">
        <v>280.2</v>
      </c>
      <c r="D26" s="578">
        <v>0</v>
      </c>
      <c r="E26" s="578">
        <v>1.5</v>
      </c>
    </row>
    <row r="27" spans="1:5" ht="15.75">
      <c r="A27" s="42">
        <v>18</v>
      </c>
      <c r="B27" s="576" t="s">
        <v>1049</v>
      </c>
      <c r="C27" s="575">
        <v>435.2</v>
      </c>
      <c r="D27" s="578">
        <v>4.2</v>
      </c>
      <c r="E27" s="578">
        <v>0</v>
      </c>
    </row>
    <row r="28" spans="1:5" ht="15.75">
      <c r="A28" s="42">
        <v>19</v>
      </c>
      <c r="B28" s="576" t="s">
        <v>1050</v>
      </c>
      <c r="C28" s="575">
        <v>8214.5</v>
      </c>
      <c r="D28" s="578">
        <v>13.2</v>
      </c>
      <c r="E28" s="578">
        <v>0</v>
      </c>
    </row>
    <row r="29" spans="1:5" ht="15.75">
      <c r="A29" s="42">
        <v>20</v>
      </c>
      <c r="B29" s="576" t="s">
        <v>1051</v>
      </c>
      <c r="C29" s="575">
        <v>1044.4</v>
      </c>
      <c r="D29" s="578">
        <v>5.2</v>
      </c>
      <c r="E29" s="578">
        <v>0</v>
      </c>
    </row>
    <row r="30" spans="1:5" ht="15.75">
      <c r="A30" s="42">
        <v>21</v>
      </c>
      <c r="B30" s="576" t="s">
        <v>1052</v>
      </c>
      <c r="C30" s="575">
        <v>3251.1</v>
      </c>
      <c r="D30" s="575">
        <v>52.2</v>
      </c>
      <c r="E30" s="578">
        <v>74.7</v>
      </c>
    </row>
    <row r="31" spans="1:5" ht="15.75">
      <c r="A31" s="42">
        <v>22</v>
      </c>
      <c r="B31" s="576" t="s">
        <v>1053</v>
      </c>
      <c r="C31" s="578">
        <v>836.2</v>
      </c>
      <c r="D31" s="578">
        <v>18.1</v>
      </c>
      <c r="E31" s="578">
        <v>11.2</v>
      </c>
    </row>
    <row r="32" spans="1:5" ht="15.75">
      <c r="A32" s="42">
        <v>23</v>
      </c>
      <c r="B32" s="576" t="s">
        <v>1054</v>
      </c>
      <c r="C32" s="578">
        <v>985.4</v>
      </c>
      <c r="D32" s="578">
        <v>9.5</v>
      </c>
      <c r="E32" s="578">
        <v>14.9</v>
      </c>
    </row>
    <row r="33" spans="1:5" ht="15.75">
      <c r="A33" s="42">
        <v>24</v>
      </c>
      <c r="B33" s="576" t="s">
        <v>1055</v>
      </c>
      <c r="C33" s="578">
        <v>18379.9</v>
      </c>
      <c r="D33" s="578">
        <v>13.3</v>
      </c>
      <c r="E33" s="578">
        <v>10.8</v>
      </c>
    </row>
    <row r="34" spans="1:5" ht="15.75">
      <c r="A34" s="42">
        <v>25</v>
      </c>
      <c r="B34" s="576" t="s">
        <v>1056</v>
      </c>
      <c r="C34" s="575">
        <v>800.1</v>
      </c>
      <c r="D34" s="575">
        <v>17.2</v>
      </c>
      <c r="E34" s="578">
        <v>116.6</v>
      </c>
    </row>
    <row r="35" spans="1:5" ht="15.75">
      <c r="A35" s="42">
        <v>26</v>
      </c>
      <c r="B35" s="576" t="s">
        <v>1057</v>
      </c>
      <c r="C35" s="578">
        <v>5868.8</v>
      </c>
      <c r="D35" s="578">
        <v>17.4</v>
      </c>
      <c r="E35" s="578">
        <v>0</v>
      </c>
    </row>
    <row r="38" spans="1:7" ht="15.75">
      <c r="A38" s="25" t="s">
        <v>932</v>
      </c>
      <c r="C38" s="579"/>
      <c r="D38" s="579"/>
      <c r="E38" s="579" t="s">
        <v>1017</v>
      </c>
      <c r="F38" s="25"/>
      <c r="G38" s="25"/>
    </row>
  </sheetData>
  <mergeCells count="7">
    <mergeCell ref="B1:E1"/>
    <mergeCell ref="A3:E3"/>
    <mergeCell ref="D4:E4"/>
    <mergeCell ref="A5:A6"/>
    <mergeCell ref="B5:B6"/>
    <mergeCell ref="C5:C6"/>
    <mergeCell ref="D5:E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L7" sqref="L7"/>
    </sheetView>
  </sheetViews>
  <sheetFormatPr defaultColWidth="9.140625" defaultRowHeight="12.75"/>
  <cols>
    <col min="1" max="1" width="6.421875" style="6" customWidth="1"/>
    <col min="2" max="2" width="36.421875" style="6" customWidth="1"/>
    <col min="3" max="3" width="10.140625" style="6" customWidth="1"/>
    <col min="4" max="4" width="10.00390625" style="6" customWidth="1"/>
    <col min="5" max="5" width="9.7109375" style="6" customWidth="1"/>
    <col min="6" max="6" width="10.28125" style="6" customWidth="1"/>
    <col min="7" max="7" width="9.28125" style="6" customWidth="1"/>
    <col min="8" max="8" width="8.7109375" style="6" customWidth="1"/>
    <col min="9" max="9" width="10.28125" style="6" customWidth="1"/>
    <col min="10" max="10" width="8.7109375" style="6" customWidth="1"/>
    <col min="11" max="11" width="9.140625" style="6" customWidth="1"/>
    <col min="12" max="12" width="8.57421875" style="6" customWidth="1"/>
    <col min="13" max="13" width="10.00390625" style="6" customWidth="1"/>
    <col min="14" max="14" width="10.8515625" style="6" customWidth="1"/>
    <col min="15" max="16384" width="9.140625" style="6" customWidth="1"/>
  </cols>
  <sheetData>
    <row r="1" spans="12:13" ht="12.75">
      <c r="L1" s="2" t="s">
        <v>910</v>
      </c>
      <c r="M1" s="2"/>
    </row>
    <row r="2" ht="7.5" customHeight="1"/>
    <row r="3" spans="1:14" ht="33" customHeight="1">
      <c r="A3" s="756" t="s">
        <v>310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43"/>
      <c r="N3" s="43"/>
    </row>
    <row r="4" ht="13.5" customHeight="1">
      <c r="L4" s="98" t="s">
        <v>749</v>
      </c>
    </row>
    <row r="5" spans="1:12" ht="24.75" customHeight="1">
      <c r="A5" s="833" t="s">
        <v>743</v>
      </c>
      <c r="B5" s="836" t="s">
        <v>334</v>
      </c>
      <c r="C5" s="827" t="s">
        <v>913</v>
      </c>
      <c r="D5" s="838"/>
      <c r="E5" s="839"/>
      <c r="F5" s="830" t="s">
        <v>685</v>
      </c>
      <c r="G5" s="827" t="s">
        <v>914</v>
      </c>
      <c r="H5" s="828"/>
      <c r="I5" s="829"/>
      <c r="J5" s="827" t="s">
        <v>252</v>
      </c>
      <c r="K5" s="828"/>
      <c r="L5" s="829"/>
    </row>
    <row r="6" spans="1:12" ht="16.5" customHeight="1">
      <c r="A6" s="834"/>
      <c r="B6" s="837"/>
      <c r="C6" s="840" t="s">
        <v>761</v>
      </c>
      <c r="D6" s="825" t="s">
        <v>748</v>
      </c>
      <c r="E6" s="826"/>
      <c r="F6" s="837"/>
      <c r="G6" s="830" t="s">
        <v>761</v>
      </c>
      <c r="H6" s="825" t="s">
        <v>748</v>
      </c>
      <c r="I6" s="826"/>
      <c r="J6" s="830" t="s">
        <v>761</v>
      </c>
      <c r="K6" s="825" t="s">
        <v>748</v>
      </c>
      <c r="L6" s="826"/>
    </row>
    <row r="7" spans="1:12" ht="51" customHeight="1">
      <c r="A7" s="835"/>
      <c r="B7" s="831"/>
      <c r="C7" s="831"/>
      <c r="D7" s="293" t="s">
        <v>335</v>
      </c>
      <c r="E7" s="293" t="s">
        <v>336</v>
      </c>
      <c r="F7" s="831"/>
      <c r="G7" s="831"/>
      <c r="H7" s="219" t="s">
        <v>335</v>
      </c>
      <c r="I7" s="219" t="s">
        <v>336</v>
      </c>
      <c r="J7" s="831"/>
      <c r="K7" s="219" t="s">
        <v>335</v>
      </c>
      <c r="L7" s="219" t="s">
        <v>336</v>
      </c>
    </row>
    <row r="8" spans="1:12" s="72" customFormat="1" ht="18" customHeight="1">
      <c r="A8" s="294">
        <v>1</v>
      </c>
      <c r="B8" s="294">
        <v>2</v>
      </c>
      <c r="C8" s="294"/>
      <c r="D8" s="294">
        <v>4</v>
      </c>
      <c r="E8" s="294">
        <v>4</v>
      </c>
      <c r="F8" s="294">
        <v>6</v>
      </c>
      <c r="G8" s="294">
        <v>7</v>
      </c>
      <c r="H8" s="294">
        <v>8</v>
      </c>
      <c r="I8" s="294">
        <v>9</v>
      </c>
      <c r="J8" s="294">
        <v>10</v>
      </c>
      <c r="K8" s="294">
        <v>11</v>
      </c>
      <c r="L8" s="294">
        <v>12</v>
      </c>
    </row>
    <row r="9" spans="1:12" s="296" customFormat="1" ht="25.5">
      <c r="A9" s="295">
        <v>1</v>
      </c>
      <c r="B9" s="288" t="s">
        <v>686</v>
      </c>
      <c r="C9" s="298">
        <f>D9+E9</f>
        <v>14950.7</v>
      </c>
      <c r="D9" s="289">
        <f aca="true" t="shared" si="0" ref="D9:L9">D10</f>
        <v>10617.1</v>
      </c>
      <c r="E9" s="289">
        <f t="shared" si="0"/>
        <v>4333.6</v>
      </c>
      <c r="F9" s="289">
        <f t="shared" si="0"/>
        <v>1867</v>
      </c>
      <c r="G9" s="289">
        <f t="shared" si="0"/>
        <v>4043.7</v>
      </c>
      <c r="H9" s="289">
        <f t="shared" si="0"/>
        <v>1062.1</v>
      </c>
      <c r="I9" s="289">
        <f t="shared" si="0"/>
        <v>2981.6</v>
      </c>
      <c r="J9" s="289">
        <f t="shared" si="0"/>
        <v>994.1</v>
      </c>
      <c r="K9" s="289">
        <f t="shared" si="0"/>
        <v>755.5</v>
      </c>
      <c r="L9" s="289">
        <f t="shared" si="0"/>
        <v>238.6</v>
      </c>
    </row>
    <row r="10" spans="1:12" s="296" customFormat="1" ht="48.75" customHeight="1">
      <c r="A10" s="295"/>
      <c r="B10" s="297" t="s">
        <v>687</v>
      </c>
      <c r="C10" s="298">
        <f>D10+E10</f>
        <v>14950.7</v>
      </c>
      <c r="D10" s="298">
        <v>10617.1</v>
      </c>
      <c r="E10" s="298">
        <v>4333.6</v>
      </c>
      <c r="F10" s="299">
        <f>1867</f>
        <v>1867</v>
      </c>
      <c r="G10" s="299">
        <f>SUM(H10:I10)</f>
        <v>4043.7</v>
      </c>
      <c r="H10" s="298">
        <v>1062.1</v>
      </c>
      <c r="I10" s="299">
        <v>2981.6</v>
      </c>
      <c r="J10" s="299">
        <f>SUM(K10:L10)</f>
        <v>994.1</v>
      </c>
      <c r="K10" s="298">
        <v>755.5</v>
      </c>
      <c r="L10" s="299">
        <v>238.6</v>
      </c>
    </row>
    <row r="11" spans="1:12" s="296" customFormat="1" ht="37.5" customHeight="1">
      <c r="A11" s="295">
        <v>2</v>
      </c>
      <c r="B11" s="300" t="s">
        <v>688</v>
      </c>
      <c r="C11" s="298">
        <f>D11+E11</f>
        <v>11436.6</v>
      </c>
      <c r="D11" s="289">
        <f aca="true" t="shared" si="1" ref="D11:L11">D12</f>
        <v>2517.6</v>
      </c>
      <c r="E11" s="289">
        <f t="shared" si="1"/>
        <v>8919</v>
      </c>
      <c r="F11" s="289">
        <f t="shared" si="1"/>
        <v>3230</v>
      </c>
      <c r="G11" s="289">
        <f t="shared" si="1"/>
        <v>11436.6</v>
      </c>
      <c r="H11" s="289">
        <f t="shared" si="1"/>
        <v>2517.6</v>
      </c>
      <c r="I11" s="289">
        <f t="shared" si="1"/>
        <v>8919</v>
      </c>
      <c r="J11" s="289">
        <f t="shared" si="1"/>
        <v>4676</v>
      </c>
      <c r="K11" s="289">
        <f t="shared" si="1"/>
        <v>2209.3</v>
      </c>
      <c r="L11" s="289">
        <f t="shared" si="1"/>
        <v>2466.7</v>
      </c>
    </row>
    <row r="12" spans="1:12" s="296" customFormat="1" ht="45">
      <c r="A12" s="295"/>
      <c r="B12" s="301" t="s">
        <v>689</v>
      </c>
      <c r="C12" s="298">
        <f>D12+E12</f>
        <v>11436.6</v>
      </c>
      <c r="D12" s="298">
        <f>1876.765+640.839</f>
        <v>2517.6</v>
      </c>
      <c r="E12" s="298">
        <v>8919</v>
      </c>
      <c r="F12" s="299">
        <f>2067+325.50216+837.5</f>
        <v>3230</v>
      </c>
      <c r="G12" s="299">
        <f>SUM(H12:I12)</f>
        <v>11436.6</v>
      </c>
      <c r="H12" s="298">
        <v>2517.6</v>
      </c>
      <c r="I12" s="299">
        <v>8919</v>
      </c>
      <c r="J12" s="299">
        <f>SUM(K12:L12)</f>
        <v>4676</v>
      </c>
      <c r="K12" s="298">
        <v>2209.3</v>
      </c>
      <c r="L12" s="299">
        <v>2466.7</v>
      </c>
    </row>
    <row r="13" spans="1:12" s="71" customFormat="1" ht="19.5" customHeight="1">
      <c r="A13" s="16"/>
      <c r="B13" s="302" t="s">
        <v>915</v>
      </c>
      <c r="C13" s="509">
        <f>D13+E13</f>
        <v>26387.3</v>
      </c>
      <c r="D13" s="303">
        <f aca="true" t="shared" si="2" ref="D13:L13">D11+D9</f>
        <v>13134.7</v>
      </c>
      <c r="E13" s="303">
        <f t="shared" si="2"/>
        <v>13252.6</v>
      </c>
      <c r="F13" s="303">
        <f t="shared" si="2"/>
        <v>5097</v>
      </c>
      <c r="G13" s="303">
        <f t="shared" si="2"/>
        <v>15480.3</v>
      </c>
      <c r="H13" s="303">
        <f t="shared" si="2"/>
        <v>3579.7</v>
      </c>
      <c r="I13" s="303">
        <f t="shared" si="2"/>
        <v>11900.6</v>
      </c>
      <c r="J13" s="303">
        <f>J11+J9</f>
        <v>5670.1</v>
      </c>
      <c r="K13" s="303">
        <f t="shared" si="2"/>
        <v>2964.8</v>
      </c>
      <c r="L13" s="303">
        <f t="shared" si="2"/>
        <v>2705.3</v>
      </c>
    </row>
    <row r="14" spans="1:12" s="71" customFormat="1" ht="14.25" customHeight="1">
      <c r="A14" s="105"/>
      <c r="B14" s="304"/>
      <c r="C14" s="304"/>
      <c r="D14" s="305"/>
      <c r="E14" s="305"/>
      <c r="F14" s="305"/>
      <c r="G14" s="305"/>
      <c r="H14" s="305"/>
      <c r="I14" s="305"/>
      <c r="J14" s="305"/>
      <c r="K14" s="305"/>
      <c r="L14" s="305"/>
    </row>
    <row r="15" spans="1:11" s="72" customFormat="1" ht="28.5" customHeight="1">
      <c r="A15" s="832" t="s">
        <v>690</v>
      </c>
      <c r="B15" s="832"/>
      <c r="C15" s="832"/>
      <c r="D15" s="832"/>
      <c r="E15" s="832"/>
      <c r="F15" s="832"/>
      <c r="G15" s="832"/>
      <c r="H15" s="832"/>
      <c r="I15" s="832"/>
      <c r="J15" s="832"/>
      <c r="K15" s="832"/>
    </row>
    <row r="16" s="71" customFormat="1" ht="15.75">
      <c r="A16" s="25"/>
    </row>
  </sheetData>
  <mergeCells count="14">
    <mergeCell ref="A3:L3"/>
    <mergeCell ref="A5:A7"/>
    <mergeCell ref="B5:B7"/>
    <mergeCell ref="C5:E5"/>
    <mergeCell ref="F5:F7"/>
    <mergeCell ref="G5:I5"/>
    <mergeCell ref="C6:C7"/>
    <mergeCell ref="K6:L6"/>
    <mergeCell ref="D6:E6"/>
    <mergeCell ref="G6:G7"/>
    <mergeCell ref="H6:I6"/>
    <mergeCell ref="J5:L5"/>
    <mergeCell ref="J6:J7"/>
    <mergeCell ref="A15:K1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30" sqref="F30"/>
    </sheetView>
  </sheetViews>
  <sheetFormatPr defaultColWidth="9.140625" defaultRowHeight="12.75"/>
  <cols>
    <col min="1" max="1" width="3.421875" style="324" customWidth="1"/>
    <col min="2" max="2" width="42.7109375" style="0" customWidth="1"/>
    <col min="3" max="3" width="13.8515625" style="0" customWidth="1"/>
    <col min="4" max="4" width="11.57421875" style="0" customWidth="1"/>
    <col min="5" max="6" width="10.00390625" style="0" customWidth="1"/>
  </cols>
  <sheetData>
    <row r="1" spans="1:10" ht="12.75">
      <c r="A1" s="43"/>
      <c r="B1" s="6"/>
      <c r="C1" s="6"/>
      <c r="D1" s="6"/>
      <c r="E1" s="6"/>
      <c r="F1" s="2" t="s">
        <v>691</v>
      </c>
      <c r="G1" s="6"/>
      <c r="H1" s="6"/>
      <c r="I1" s="6"/>
      <c r="J1" s="6"/>
    </row>
    <row r="2" spans="1:10" ht="12.75">
      <c r="A2" s="43"/>
      <c r="B2" s="6"/>
      <c r="C2" s="6"/>
      <c r="D2" s="19"/>
      <c r="E2" s="6"/>
      <c r="F2" s="6"/>
      <c r="G2" s="6"/>
      <c r="H2" s="6"/>
      <c r="I2" s="6"/>
      <c r="J2" s="6"/>
    </row>
    <row r="3" spans="1:10" ht="32.25" customHeight="1">
      <c r="A3" s="842" t="s">
        <v>311</v>
      </c>
      <c r="B3" s="842"/>
      <c r="C3" s="842"/>
      <c r="D3" s="842"/>
      <c r="E3" s="842"/>
      <c r="F3" s="842"/>
      <c r="G3" s="43"/>
      <c r="H3" s="43"/>
      <c r="I3" s="43"/>
      <c r="J3" s="43"/>
    </row>
    <row r="4" spans="1:10" ht="15.75">
      <c r="A4" s="627"/>
      <c r="B4" s="627"/>
      <c r="C4" s="627"/>
      <c r="D4" s="627"/>
      <c r="E4" s="627"/>
      <c r="F4" s="627"/>
      <c r="G4" s="43"/>
      <c r="H4" s="43"/>
      <c r="I4" s="43"/>
      <c r="J4" s="43"/>
    </row>
    <row r="5" spans="1:10" ht="12.75" customHeight="1">
      <c r="A5" s="43"/>
      <c r="B5" s="6"/>
      <c r="C5" s="6"/>
      <c r="D5" s="19"/>
      <c r="E5" s="849" t="s">
        <v>747</v>
      </c>
      <c r="F5" s="849"/>
      <c r="G5" s="6"/>
      <c r="H5" s="6"/>
      <c r="I5" s="6"/>
      <c r="J5" s="6"/>
    </row>
    <row r="6" spans="1:10" s="332" customFormat="1" ht="48">
      <c r="A6" s="330" t="s">
        <v>916</v>
      </c>
      <c r="B6" s="219" t="s">
        <v>917</v>
      </c>
      <c r="C6" s="219" t="s">
        <v>918</v>
      </c>
      <c r="D6" s="219" t="s">
        <v>919</v>
      </c>
      <c r="E6" s="219" t="s">
        <v>914</v>
      </c>
      <c r="F6" s="219" t="s">
        <v>252</v>
      </c>
      <c r="G6" s="331"/>
      <c r="H6" s="331"/>
      <c r="I6" s="331"/>
      <c r="J6" s="331"/>
    </row>
    <row r="7" spans="1:10" ht="12.75">
      <c r="A7" s="319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7"/>
      <c r="H7" s="7"/>
      <c r="I7" s="7"/>
      <c r="J7" s="7"/>
    </row>
    <row r="8" spans="1:10" s="309" customFormat="1" ht="65.25" customHeight="1">
      <c r="A8" s="321">
        <v>1</v>
      </c>
      <c r="B8" s="326" t="s">
        <v>692</v>
      </c>
      <c r="C8" s="325" t="s">
        <v>686</v>
      </c>
      <c r="D8" s="307">
        <v>650</v>
      </c>
      <c r="E8" s="307">
        <v>290</v>
      </c>
      <c r="F8" s="307">
        <v>254.2</v>
      </c>
      <c r="G8" s="308"/>
      <c r="H8" s="308"/>
      <c r="I8" s="308"/>
      <c r="J8" s="308"/>
    </row>
    <row r="9" spans="1:10" s="309" customFormat="1" ht="54.75" customHeight="1">
      <c r="A9" s="843">
        <v>2</v>
      </c>
      <c r="B9" s="327" t="s">
        <v>693</v>
      </c>
      <c r="C9" s="325" t="s">
        <v>694</v>
      </c>
      <c r="D9" s="310">
        <f>D10+D11+D12+D13+D14+D15+D16+D17</f>
        <v>1385</v>
      </c>
      <c r="E9" s="310">
        <f>E10+E11+E12+E13+E14+E15+E16+E17</f>
        <v>644.8</v>
      </c>
      <c r="F9" s="310">
        <f>F10+F11+F12+F13+F14+F15+F16+F17</f>
        <v>644.6</v>
      </c>
      <c r="G9" s="308"/>
      <c r="H9" s="308"/>
      <c r="I9" s="308"/>
      <c r="J9" s="308"/>
    </row>
    <row r="10" spans="1:10" ht="53.25" customHeight="1">
      <c r="A10" s="844"/>
      <c r="B10" s="311" t="s">
        <v>695</v>
      </c>
      <c r="C10" s="312"/>
      <c r="D10" s="313">
        <v>250</v>
      </c>
      <c r="E10" s="314">
        <f>70+40</f>
        <v>110</v>
      </c>
      <c r="F10" s="314">
        <v>110</v>
      </c>
      <c r="G10" s="6"/>
      <c r="H10" s="6"/>
      <c r="I10" s="6"/>
      <c r="J10" s="6"/>
    </row>
    <row r="11" spans="1:10" s="309" customFormat="1" ht="77.25" customHeight="1">
      <c r="A11" s="844"/>
      <c r="B11" s="311" t="s">
        <v>696</v>
      </c>
      <c r="C11" s="312"/>
      <c r="D11" s="313">
        <v>300</v>
      </c>
      <c r="E11" s="314">
        <v>197</v>
      </c>
      <c r="F11" s="314">
        <v>197</v>
      </c>
      <c r="G11" s="308"/>
      <c r="H11" s="308"/>
      <c r="I11" s="308"/>
      <c r="J11" s="308"/>
    </row>
    <row r="12" spans="1:10" s="309" customFormat="1" ht="40.5" customHeight="1">
      <c r="A12" s="844"/>
      <c r="B12" s="311" t="s">
        <v>697</v>
      </c>
      <c r="C12" s="312"/>
      <c r="D12" s="313">
        <v>36</v>
      </c>
      <c r="E12" s="314">
        <v>18</v>
      </c>
      <c r="F12" s="314">
        <v>18</v>
      </c>
      <c r="G12" s="308"/>
      <c r="H12" s="308"/>
      <c r="I12" s="308"/>
      <c r="J12" s="308"/>
    </row>
    <row r="13" spans="1:10" ht="25.5">
      <c r="A13" s="844"/>
      <c r="B13" s="311" t="s">
        <v>698</v>
      </c>
      <c r="C13" s="312"/>
      <c r="D13" s="313">
        <v>220</v>
      </c>
      <c r="E13" s="314">
        <v>0</v>
      </c>
      <c r="F13" s="314">
        <v>0</v>
      </c>
      <c r="G13" s="6"/>
      <c r="H13" s="6"/>
      <c r="I13" s="6"/>
      <c r="J13" s="6"/>
    </row>
    <row r="14" spans="1:6" ht="63.75" customHeight="1">
      <c r="A14" s="844"/>
      <c r="B14" s="311" t="s">
        <v>699</v>
      </c>
      <c r="C14" s="312"/>
      <c r="D14" s="313">
        <v>33</v>
      </c>
      <c r="E14" s="314">
        <v>18</v>
      </c>
      <c r="F14" s="314">
        <v>17.8</v>
      </c>
    </row>
    <row r="15" spans="1:6" ht="67.5" customHeight="1">
      <c r="A15" s="844"/>
      <c r="B15" s="311" t="s">
        <v>700</v>
      </c>
      <c r="C15" s="312"/>
      <c r="D15" s="313">
        <v>80</v>
      </c>
      <c r="E15" s="314">
        <v>35</v>
      </c>
      <c r="F15" s="314">
        <v>35</v>
      </c>
    </row>
    <row r="16" spans="1:6" ht="63.75" customHeight="1">
      <c r="A16" s="844"/>
      <c r="B16" s="311" t="s">
        <v>701</v>
      </c>
      <c r="C16" s="312"/>
      <c r="D16" s="313">
        <v>50</v>
      </c>
      <c r="E16" s="314">
        <v>50</v>
      </c>
      <c r="F16" s="314">
        <v>50</v>
      </c>
    </row>
    <row r="17" spans="1:6" ht="17.25" customHeight="1">
      <c r="A17" s="845"/>
      <c r="B17" s="311" t="s">
        <v>702</v>
      </c>
      <c r="C17" s="315"/>
      <c r="D17" s="313">
        <v>416</v>
      </c>
      <c r="E17" s="314">
        <v>216.8</v>
      </c>
      <c r="F17" s="314">
        <v>216.8</v>
      </c>
    </row>
    <row r="18" spans="1:6" ht="63.75">
      <c r="A18" s="321">
        <v>3</v>
      </c>
      <c r="B18" s="326" t="s">
        <v>703</v>
      </c>
      <c r="C18" s="322" t="s">
        <v>704</v>
      </c>
      <c r="D18" s="307">
        <v>800</v>
      </c>
      <c r="E18" s="307">
        <v>400</v>
      </c>
      <c r="F18" s="307">
        <v>200</v>
      </c>
    </row>
    <row r="19" spans="1:6" s="309" customFormat="1" ht="42.75" customHeight="1">
      <c r="A19" s="846">
        <v>4</v>
      </c>
      <c r="B19" s="328" t="s">
        <v>705</v>
      </c>
      <c r="C19" s="846" t="s">
        <v>676</v>
      </c>
      <c r="D19" s="307">
        <f>D20+D21+D22+D24+D25+D26+D28+D29+D27+D23</f>
        <v>5342.3</v>
      </c>
      <c r="E19" s="307">
        <f>E20+E21+E22+E24+E25+E26+E28+E29+E27+E23</f>
        <v>4603</v>
      </c>
      <c r="F19" s="677">
        <f>F20+F21+F22+F24+F25+F26+F28+F29+F27+F23</f>
        <v>2467.3</v>
      </c>
    </row>
    <row r="20" spans="1:6" s="309" customFormat="1" ht="38.25">
      <c r="A20" s="847"/>
      <c r="B20" s="306" t="s">
        <v>706</v>
      </c>
      <c r="C20" s="847"/>
      <c r="D20" s="316">
        <v>395</v>
      </c>
      <c r="E20" s="316">
        <v>395</v>
      </c>
      <c r="F20" s="316">
        <v>81</v>
      </c>
    </row>
    <row r="21" spans="1:6" s="309" customFormat="1" ht="38.25">
      <c r="A21" s="847"/>
      <c r="B21" s="306" t="s">
        <v>707</v>
      </c>
      <c r="C21" s="847"/>
      <c r="D21" s="316">
        <v>30</v>
      </c>
      <c r="E21" s="316">
        <v>28</v>
      </c>
      <c r="F21" s="316">
        <v>20</v>
      </c>
    </row>
    <row r="22" spans="1:6" s="309" customFormat="1" ht="37.5" customHeight="1">
      <c r="A22" s="847"/>
      <c r="B22" s="306" t="s">
        <v>708</v>
      </c>
      <c r="C22" s="847"/>
      <c r="D22" s="316">
        <v>22</v>
      </c>
      <c r="E22" s="316">
        <v>22</v>
      </c>
      <c r="F22" s="316">
        <v>20.3</v>
      </c>
    </row>
    <row r="23" spans="1:6" s="309" customFormat="1" ht="29.25" customHeight="1">
      <c r="A23" s="847"/>
      <c r="B23" s="306" t="s">
        <v>901</v>
      </c>
      <c r="C23" s="847"/>
      <c r="D23" s="316">
        <v>90</v>
      </c>
      <c r="E23" s="316">
        <v>0</v>
      </c>
      <c r="F23" s="316">
        <v>0</v>
      </c>
    </row>
    <row r="24" spans="1:6" s="309" customFormat="1" ht="42.75" customHeight="1">
      <c r="A24" s="847"/>
      <c r="B24" s="306" t="s">
        <v>709</v>
      </c>
      <c r="C24" s="847"/>
      <c r="D24" s="316">
        <v>50</v>
      </c>
      <c r="E24" s="316">
        <v>0</v>
      </c>
      <c r="F24" s="316">
        <v>0</v>
      </c>
    </row>
    <row r="25" spans="1:6" s="309" customFormat="1" ht="39" customHeight="1">
      <c r="A25" s="848"/>
      <c r="B25" s="306" t="s">
        <v>710</v>
      </c>
      <c r="C25" s="848"/>
      <c r="D25" s="316">
        <v>90</v>
      </c>
      <c r="E25" s="316">
        <v>75</v>
      </c>
      <c r="F25" s="316">
        <v>0</v>
      </c>
    </row>
    <row r="26" spans="1:6" s="309" customFormat="1" ht="39.75" customHeight="1">
      <c r="A26" s="320"/>
      <c r="B26" s="306" t="s">
        <v>711</v>
      </c>
      <c r="C26" s="317"/>
      <c r="D26" s="316">
        <v>22</v>
      </c>
      <c r="E26" s="316">
        <v>22</v>
      </c>
      <c r="F26" s="316">
        <v>20.3</v>
      </c>
    </row>
    <row r="27" spans="1:6" s="309" customFormat="1" ht="42" customHeight="1">
      <c r="A27" s="320"/>
      <c r="B27" s="306" t="s">
        <v>675</v>
      </c>
      <c r="C27" s="317"/>
      <c r="D27" s="316">
        <v>60</v>
      </c>
      <c r="E27" s="316">
        <v>27</v>
      </c>
      <c r="F27" s="316">
        <v>27</v>
      </c>
    </row>
    <row r="28" spans="1:6" s="309" customFormat="1" ht="105" customHeight="1">
      <c r="A28" s="320"/>
      <c r="B28" s="306" t="s">
        <v>712</v>
      </c>
      <c r="C28" s="317"/>
      <c r="D28" s="316">
        <v>563.3</v>
      </c>
      <c r="E28" s="316">
        <v>14</v>
      </c>
      <c r="F28" s="316">
        <v>0</v>
      </c>
    </row>
    <row r="29" spans="1:6" s="309" customFormat="1" ht="80.25" customHeight="1">
      <c r="A29" s="320"/>
      <c r="B29" s="306" t="s">
        <v>713</v>
      </c>
      <c r="C29" s="317"/>
      <c r="D29" s="316">
        <v>4020</v>
      </c>
      <c r="E29" s="316">
        <v>4020</v>
      </c>
      <c r="F29" s="316">
        <v>2298.7</v>
      </c>
    </row>
    <row r="30" spans="1:6" ht="42.75" customHeight="1">
      <c r="A30" s="843">
        <v>5</v>
      </c>
      <c r="B30" s="328" t="s">
        <v>714</v>
      </c>
      <c r="C30" s="846" t="s">
        <v>677</v>
      </c>
      <c r="D30" s="307">
        <f>D31+D32</f>
        <v>4621</v>
      </c>
      <c r="E30" s="307">
        <f>E31+E32</f>
        <v>378</v>
      </c>
      <c r="F30" s="307">
        <f>F31+F32</f>
        <v>378</v>
      </c>
    </row>
    <row r="31" spans="1:6" ht="27.75" customHeight="1">
      <c r="A31" s="850"/>
      <c r="B31" s="306" t="s">
        <v>715</v>
      </c>
      <c r="C31" s="847"/>
      <c r="D31" s="318">
        <v>771</v>
      </c>
      <c r="E31" s="316">
        <f>328+50</f>
        <v>378</v>
      </c>
      <c r="F31" s="316">
        <v>378</v>
      </c>
    </row>
    <row r="32" spans="1:6" ht="39" customHeight="1">
      <c r="A32" s="851"/>
      <c r="B32" s="306" t="s">
        <v>716</v>
      </c>
      <c r="C32" s="848"/>
      <c r="D32" s="318">
        <v>3850</v>
      </c>
      <c r="E32" s="316">
        <v>0</v>
      </c>
      <c r="F32" s="316">
        <v>0</v>
      </c>
    </row>
    <row r="33" spans="1:6" ht="39.75" customHeight="1">
      <c r="A33" s="329">
        <v>6</v>
      </c>
      <c r="B33" s="328" t="s">
        <v>717</v>
      </c>
      <c r="C33" s="329" t="s">
        <v>718</v>
      </c>
      <c r="D33" s="307">
        <v>3000</v>
      </c>
      <c r="E33" s="307">
        <v>3000</v>
      </c>
      <c r="F33" s="307">
        <v>2668</v>
      </c>
    </row>
    <row r="34" spans="1:6" ht="17.25" customHeight="1">
      <c r="A34" s="319"/>
      <c r="B34" s="302" t="s">
        <v>915</v>
      </c>
      <c r="C34" s="302"/>
      <c r="D34" s="676">
        <f>D8+D9+D18+D19+D30+D33</f>
        <v>15798.3</v>
      </c>
      <c r="E34" s="676">
        <f>E8+E9+E18+E19+E30+E33</f>
        <v>9315.8</v>
      </c>
      <c r="F34" s="676">
        <f>F8+F9+F18+F19+F30+F33</f>
        <v>6612.1</v>
      </c>
    </row>
    <row r="35" ht="12.75">
      <c r="D35" s="508"/>
    </row>
    <row r="37" spans="1:6" ht="15.75">
      <c r="A37" s="841" t="s">
        <v>902</v>
      </c>
      <c r="B37" s="841"/>
      <c r="C37" s="841"/>
      <c r="D37" s="841"/>
      <c r="E37" s="841"/>
      <c r="F37" s="841"/>
    </row>
    <row r="38" spans="1:5" ht="15.75">
      <c r="A38" s="323"/>
      <c r="B38" s="71"/>
      <c r="C38" s="71"/>
      <c r="D38" s="71"/>
      <c r="E38" s="71"/>
    </row>
  </sheetData>
  <mergeCells count="8">
    <mergeCell ref="A37:F37"/>
    <mergeCell ref="A3:F3"/>
    <mergeCell ref="A9:A17"/>
    <mergeCell ref="A19:A25"/>
    <mergeCell ref="C19:C25"/>
    <mergeCell ref="E5:F5"/>
    <mergeCell ref="A30:A32"/>
    <mergeCell ref="C30:C3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16" sqref="W16"/>
    </sheetView>
  </sheetViews>
  <sheetFormatPr defaultColWidth="9.140625" defaultRowHeight="12.75"/>
  <cols>
    <col min="1" max="1" width="32.7109375" style="73" customWidth="1"/>
    <col min="2" max="2" width="9.7109375" style="118" customWidth="1"/>
    <col min="3" max="3" width="8.28125" style="73" customWidth="1"/>
    <col min="4" max="4" width="8.7109375" style="73" customWidth="1"/>
    <col min="5" max="5" width="10.00390625" style="73" customWidth="1"/>
    <col min="6" max="6" width="10.57421875" style="73" customWidth="1"/>
    <col min="7" max="7" width="6.7109375" style="73" customWidth="1"/>
    <col min="8" max="8" width="4.140625" style="73" hidden="1" customWidth="1"/>
    <col min="9" max="9" width="8.421875" style="73" hidden="1" customWidth="1"/>
    <col min="10" max="10" width="8.7109375" style="73" customWidth="1"/>
    <col min="11" max="11" width="8.7109375" style="73" hidden="1" customWidth="1"/>
    <col min="12" max="12" width="7.28125" style="73" customWidth="1"/>
    <col min="13" max="13" width="6.7109375" style="73" customWidth="1"/>
    <col min="14" max="14" width="5.7109375" style="73" customWidth="1"/>
    <col min="15" max="15" width="9.57421875" style="73" hidden="1" customWidth="1"/>
    <col min="16" max="16" width="7.00390625" style="73" customWidth="1"/>
    <col min="17" max="17" width="5.7109375" style="73" customWidth="1"/>
    <col min="18" max="18" width="8.00390625" style="73" customWidth="1"/>
    <col min="19" max="19" width="9.7109375" style="73" customWidth="1"/>
    <col min="20" max="20" width="10.28125" style="73" hidden="1" customWidth="1"/>
    <col min="21" max="21" width="11.8515625" style="73" hidden="1" customWidth="1"/>
    <col min="22" max="16384" width="9.140625" style="73" customWidth="1"/>
  </cols>
  <sheetData>
    <row r="1" spans="14:21" ht="15" customHeight="1">
      <c r="N1" s="119"/>
      <c r="O1" s="119"/>
      <c r="P1" s="119"/>
      <c r="Q1" s="852" t="s">
        <v>260</v>
      </c>
      <c r="R1" s="852"/>
      <c r="S1" s="852"/>
      <c r="T1" s="852"/>
      <c r="U1" s="852"/>
    </row>
    <row r="2" spans="1:21" ht="19.5" customHeight="1">
      <c r="A2" s="853" t="s">
        <v>557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</row>
    <row r="3" spans="18:21" ht="15" customHeight="1">
      <c r="R3" s="120"/>
      <c r="S3" s="120" t="s">
        <v>46</v>
      </c>
      <c r="T3" s="120" t="s">
        <v>46</v>
      </c>
      <c r="U3" s="120"/>
    </row>
    <row r="4" spans="1:21" s="120" customFormat="1" ht="14.25" customHeight="1">
      <c r="A4" s="854" t="s">
        <v>744</v>
      </c>
      <c r="B4" s="854" t="s">
        <v>761</v>
      </c>
      <c r="C4" s="857" t="s">
        <v>943</v>
      </c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</row>
    <row r="5" spans="1:21" s="120" customFormat="1" ht="27" customHeight="1">
      <c r="A5" s="855"/>
      <c r="B5" s="855"/>
      <c r="C5" s="859" t="s">
        <v>47</v>
      </c>
      <c r="D5" s="857" t="s">
        <v>48</v>
      </c>
      <c r="E5" s="861"/>
      <c r="F5" s="857" t="s">
        <v>49</v>
      </c>
      <c r="G5" s="862"/>
      <c r="H5" s="862"/>
      <c r="I5" s="861"/>
      <c r="J5" s="863" t="s">
        <v>50</v>
      </c>
      <c r="K5" s="864"/>
      <c r="L5" s="859" t="s">
        <v>51</v>
      </c>
      <c r="M5" s="857" t="s">
        <v>52</v>
      </c>
      <c r="N5" s="858"/>
      <c r="O5" s="867"/>
      <c r="P5" s="857" t="s">
        <v>53</v>
      </c>
      <c r="Q5" s="867"/>
      <c r="R5" s="857" t="s">
        <v>54</v>
      </c>
      <c r="S5" s="858"/>
      <c r="T5" s="867"/>
      <c r="U5" s="859" t="s">
        <v>55</v>
      </c>
    </row>
    <row r="6" spans="1:21" s="120" customFormat="1" ht="27.75" customHeight="1">
      <c r="A6" s="856"/>
      <c r="B6" s="856"/>
      <c r="C6" s="860"/>
      <c r="D6" s="581" t="s">
        <v>56</v>
      </c>
      <c r="E6" s="121" t="s">
        <v>57</v>
      </c>
      <c r="F6" s="121" t="s">
        <v>556</v>
      </c>
      <c r="G6" s="121" t="s">
        <v>59</v>
      </c>
      <c r="H6" s="121" t="s">
        <v>60</v>
      </c>
      <c r="I6" s="121" t="s">
        <v>61</v>
      </c>
      <c r="J6" s="122" t="s">
        <v>62</v>
      </c>
      <c r="K6" s="121" t="s">
        <v>61</v>
      </c>
      <c r="L6" s="860"/>
      <c r="M6" s="121" t="s">
        <v>63</v>
      </c>
      <c r="N6" s="121" t="s">
        <v>64</v>
      </c>
      <c r="O6" s="121" t="s">
        <v>61</v>
      </c>
      <c r="P6" s="121" t="s">
        <v>65</v>
      </c>
      <c r="Q6" s="121" t="s">
        <v>61</v>
      </c>
      <c r="R6" s="121" t="s">
        <v>66</v>
      </c>
      <c r="S6" s="121" t="s">
        <v>67</v>
      </c>
      <c r="T6" s="121" t="s">
        <v>61</v>
      </c>
      <c r="U6" s="860"/>
    </row>
    <row r="7" spans="1:21" s="124" customFormat="1" ht="9.75" customHeight="1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/>
      <c r="O7" s="123">
        <v>14</v>
      </c>
      <c r="P7" s="123">
        <v>15</v>
      </c>
      <c r="Q7" s="123">
        <v>16</v>
      </c>
      <c r="R7" s="123">
        <v>17</v>
      </c>
      <c r="S7" s="123">
        <v>18</v>
      </c>
      <c r="T7" s="123">
        <v>19</v>
      </c>
      <c r="U7" s="123">
        <v>20</v>
      </c>
    </row>
    <row r="8" spans="1:22" ht="15.75">
      <c r="A8" s="111" t="s">
        <v>1032</v>
      </c>
      <c r="B8" s="125">
        <f>SUM(C8:U8)</f>
        <v>0.1</v>
      </c>
      <c r="C8" s="126">
        <v>0.1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/>
    </row>
    <row r="9" spans="1:22" ht="15.75">
      <c r="A9" s="111" t="s">
        <v>1033</v>
      </c>
      <c r="B9" s="125">
        <f aca="true" t="shared" si="0" ref="B9:B32">SUM(C9:U9)</f>
        <v>5.1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>
        <v>5.1</v>
      </c>
      <c r="Q9" s="126"/>
      <c r="R9" s="126"/>
      <c r="S9" s="126"/>
      <c r="T9" s="126"/>
      <c r="U9" s="126"/>
      <c r="V9" s="127"/>
    </row>
    <row r="10" spans="1:22" ht="15.75">
      <c r="A10" s="111" t="s">
        <v>1034</v>
      </c>
      <c r="B10" s="125">
        <f t="shared" si="0"/>
        <v>7</v>
      </c>
      <c r="C10" s="126">
        <v>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7"/>
    </row>
    <row r="11" spans="1:22" ht="15.75">
      <c r="A11" s="111" t="s">
        <v>1035</v>
      </c>
      <c r="B11" s="125">
        <f t="shared" si="0"/>
        <v>11.8</v>
      </c>
      <c r="C11" s="126">
        <v>2.1</v>
      </c>
      <c r="D11" s="126"/>
      <c r="E11" s="126"/>
      <c r="F11" s="126"/>
      <c r="G11" s="126"/>
      <c r="H11" s="126"/>
      <c r="I11" s="126"/>
      <c r="J11" s="126">
        <v>9.7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</row>
    <row r="12" spans="1:22" ht="15.75">
      <c r="A12" s="111" t="s">
        <v>1036</v>
      </c>
      <c r="B12" s="125">
        <f t="shared" si="0"/>
        <v>79</v>
      </c>
      <c r="C12" s="126">
        <v>11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>
        <v>68</v>
      </c>
      <c r="T12" s="126"/>
      <c r="U12" s="126"/>
      <c r="V12" s="127"/>
    </row>
    <row r="13" spans="1:22" ht="15.75">
      <c r="A13" s="111" t="s">
        <v>1037</v>
      </c>
      <c r="B13" s="125">
        <f t="shared" si="0"/>
        <v>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7"/>
    </row>
    <row r="14" spans="1:22" ht="15.75">
      <c r="A14" s="111" t="s">
        <v>1038</v>
      </c>
      <c r="B14" s="125">
        <f t="shared" si="0"/>
        <v>30.5</v>
      </c>
      <c r="C14" s="126">
        <v>23.2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>
        <v>7.3</v>
      </c>
      <c r="Q14" s="126"/>
      <c r="R14" s="126"/>
      <c r="S14" s="126"/>
      <c r="T14" s="126"/>
      <c r="U14" s="126"/>
      <c r="V14" s="127"/>
    </row>
    <row r="15" spans="1:22" ht="15.75">
      <c r="A15" s="111" t="s">
        <v>1040</v>
      </c>
      <c r="B15" s="125">
        <f t="shared" si="0"/>
        <v>237.7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>
        <v>237.7</v>
      </c>
      <c r="T15" s="126"/>
      <c r="U15" s="126"/>
      <c r="V15" s="127"/>
    </row>
    <row r="16" spans="1:22" ht="15.75">
      <c r="A16" s="111" t="s">
        <v>1041</v>
      </c>
      <c r="B16" s="125">
        <f t="shared" si="0"/>
        <v>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7"/>
    </row>
    <row r="17" spans="1:22" ht="15.75">
      <c r="A17" s="111" t="s">
        <v>1042</v>
      </c>
      <c r="B17" s="125">
        <f t="shared" si="0"/>
        <v>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7"/>
    </row>
    <row r="18" spans="1:22" ht="15.75">
      <c r="A18" s="111" t="s">
        <v>1043</v>
      </c>
      <c r="B18" s="125">
        <f t="shared" si="0"/>
        <v>6.4</v>
      </c>
      <c r="C18" s="126">
        <v>2.2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>
        <v>4.2</v>
      </c>
      <c r="Q18" s="126"/>
      <c r="R18" s="126"/>
      <c r="S18" s="126"/>
      <c r="T18" s="126"/>
      <c r="U18" s="126"/>
      <c r="V18" s="127"/>
    </row>
    <row r="19" spans="1:22" ht="15.75">
      <c r="A19" s="111" t="s">
        <v>1044</v>
      </c>
      <c r="B19" s="125">
        <f t="shared" si="0"/>
        <v>14.9</v>
      </c>
      <c r="C19" s="126">
        <v>6.9</v>
      </c>
      <c r="D19" s="126"/>
      <c r="E19" s="126">
        <v>8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7"/>
    </row>
    <row r="20" spans="1:22" ht="15.75">
      <c r="A20" s="111" t="s">
        <v>1045</v>
      </c>
      <c r="B20" s="125">
        <f t="shared" si="0"/>
        <v>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7"/>
    </row>
    <row r="21" spans="1:22" ht="16.5" customHeight="1">
      <c r="A21" s="111" t="s">
        <v>1046</v>
      </c>
      <c r="B21" s="125">
        <f t="shared" si="0"/>
        <v>0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/>
    </row>
    <row r="22" spans="1:22" ht="15.75">
      <c r="A22" s="111" t="s">
        <v>1047</v>
      </c>
      <c r="B22" s="125">
        <f t="shared" si="0"/>
        <v>0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7"/>
    </row>
    <row r="23" spans="1:22" ht="15.75">
      <c r="A23" s="111" t="s">
        <v>1048</v>
      </c>
      <c r="B23" s="125">
        <f t="shared" si="0"/>
        <v>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7"/>
    </row>
    <row r="24" spans="1:22" ht="15.75">
      <c r="A24" s="111" t="s">
        <v>1049</v>
      </c>
      <c r="B24" s="125">
        <f t="shared" si="0"/>
        <v>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</row>
    <row r="25" spans="1:22" ht="15.75">
      <c r="A25" s="111" t="s">
        <v>1050</v>
      </c>
      <c r="B25" s="125">
        <f t="shared" si="0"/>
        <v>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7"/>
    </row>
    <row r="26" spans="1:22" ht="15.75">
      <c r="A26" s="111" t="s">
        <v>1051</v>
      </c>
      <c r="B26" s="125">
        <f t="shared" si="0"/>
        <v>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</row>
    <row r="27" spans="1:22" ht="15.75">
      <c r="A27" s="111" t="s">
        <v>1052</v>
      </c>
      <c r="B27" s="125">
        <f t="shared" si="0"/>
        <v>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7"/>
    </row>
    <row r="28" spans="1:22" ht="15.75">
      <c r="A28" s="111" t="s">
        <v>1053</v>
      </c>
      <c r="B28" s="125">
        <f t="shared" si="0"/>
        <v>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7"/>
    </row>
    <row r="29" spans="1:22" ht="15.75">
      <c r="A29" s="111" t="s">
        <v>1054</v>
      </c>
      <c r="B29" s="125">
        <f t="shared" si="0"/>
        <v>7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>
        <v>7</v>
      </c>
      <c r="Q29" s="126"/>
      <c r="R29" s="126"/>
      <c r="S29" s="126"/>
      <c r="T29" s="126"/>
      <c r="U29" s="126"/>
      <c r="V29" s="127"/>
    </row>
    <row r="30" spans="1:22" ht="15.75">
      <c r="A30" s="111" t="s">
        <v>1055</v>
      </c>
      <c r="B30" s="125">
        <f t="shared" si="0"/>
        <v>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7"/>
    </row>
    <row r="31" spans="1:22" ht="15.75">
      <c r="A31" s="111" t="s">
        <v>68</v>
      </c>
      <c r="B31" s="125">
        <f t="shared" si="0"/>
        <v>74</v>
      </c>
      <c r="C31" s="126"/>
      <c r="D31" s="126"/>
      <c r="E31" s="126"/>
      <c r="F31" s="126"/>
      <c r="G31" s="126"/>
      <c r="H31" s="126"/>
      <c r="I31" s="126"/>
      <c r="J31" s="126">
        <v>74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7"/>
    </row>
    <row r="32" spans="1:22" ht="15.75">
      <c r="A32" s="111" t="s">
        <v>1057</v>
      </c>
      <c r="B32" s="125">
        <f t="shared" si="0"/>
        <v>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7"/>
    </row>
    <row r="33" spans="1:22" s="131" customFormat="1" ht="15">
      <c r="A33" s="128" t="s">
        <v>987</v>
      </c>
      <c r="B33" s="125">
        <f>SUM(C33:U33)</f>
        <v>473.5</v>
      </c>
      <c r="C33" s="129">
        <f>SUM(C8:C32)</f>
        <v>52.5</v>
      </c>
      <c r="D33" s="129">
        <f aca="true" t="shared" si="1" ref="D33:S33">SUM(D8:D32)</f>
        <v>0</v>
      </c>
      <c r="E33" s="129">
        <f t="shared" si="1"/>
        <v>8</v>
      </c>
      <c r="F33" s="129">
        <f t="shared" si="1"/>
        <v>0</v>
      </c>
      <c r="G33" s="129">
        <f t="shared" si="1"/>
        <v>0</v>
      </c>
      <c r="H33" s="129">
        <f t="shared" si="1"/>
        <v>0</v>
      </c>
      <c r="I33" s="129">
        <f t="shared" si="1"/>
        <v>0</v>
      </c>
      <c r="J33" s="129">
        <f>SUM(J8:J32)</f>
        <v>83.7</v>
      </c>
      <c r="K33" s="129">
        <f t="shared" si="1"/>
        <v>0</v>
      </c>
      <c r="L33" s="129">
        <f t="shared" si="1"/>
        <v>0</v>
      </c>
      <c r="M33" s="129">
        <f t="shared" si="1"/>
        <v>0</v>
      </c>
      <c r="N33" s="129">
        <f t="shared" si="1"/>
        <v>0</v>
      </c>
      <c r="O33" s="129">
        <f t="shared" si="1"/>
        <v>0</v>
      </c>
      <c r="P33" s="129">
        <f>SUM(P8:P32)</f>
        <v>23.6</v>
      </c>
      <c r="Q33" s="129">
        <f t="shared" si="1"/>
        <v>0</v>
      </c>
      <c r="R33" s="129">
        <f t="shared" si="1"/>
        <v>0</v>
      </c>
      <c r="S33" s="129">
        <f t="shared" si="1"/>
        <v>305.7</v>
      </c>
      <c r="T33" s="129">
        <f>SUM(T8:T32)</f>
        <v>0</v>
      </c>
      <c r="U33" s="129">
        <f>SUM(U8:U32)</f>
        <v>0</v>
      </c>
      <c r="V33" s="130"/>
    </row>
    <row r="34" spans="1:22" s="120" customFormat="1" ht="14.25" customHeight="1">
      <c r="A34" s="132" t="s">
        <v>920</v>
      </c>
      <c r="B34" s="125">
        <f>SUM(C34:U34)</f>
        <v>4173.5</v>
      </c>
      <c r="C34" s="126">
        <v>75.7</v>
      </c>
      <c r="D34" s="126">
        <v>36.1</v>
      </c>
      <c r="E34" s="126">
        <v>0</v>
      </c>
      <c r="F34" s="126">
        <v>2455</v>
      </c>
      <c r="G34" s="126">
        <v>0</v>
      </c>
      <c r="H34" s="126"/>
      <c r="I34" s="126"/>
      <c r="J34" s="126">
        <v>1441</v>
      </c>
      <c r="K34" s="126"/>
      <c r="L34" s="126">
        <v>33</v>
      </c>
      <c r="M34" s="126">
        <v>41</v>
      </c>
      <c r="N34" s="126">
        <v>8</v>
      </c>
      <c r="O34" s="126"/>
      <c r="P34" s="126">
        <v>0</v>
      </c>
      <c r="Q34" s="126">
        <v>10</v>
      </c>
      <c r="R34" s="126">
        <v>73.7</v>
      </c>
      <c r="S34" s="126">
        <v>0</v>
      </c>
      <c r="T34" s="126"/>
      <c r="U34" s="126"/>
      <c r="V34" s="127"/>
    </row>
    <row r="35" spans="1:6" ht="11.25" customHeight="1">
      <c r="A35" s="74"/>
      <c r="B35" s="133"/>
      <c r="C35" s="74"/>
      <c r="D35" s="74"/>
      <c r="E35" s="74"/>
      <c r="F35" s="74"/>
    </row>
    <row r="36" spans="1:18" ht="16.5" customHeight="1">
      <c r="A36" s="865" t="s">
        <v>69</v>
      </c>
      <c r="B36" s="865"/>
      <c r="C36" s="865"/>
      <c r="D36" s="865"/>
      <c r="E36" s="865"/>
      <c r="F36" s="865"/>
      <c r="G36" s="865"/>
      <c r="P36" s="866" t="s">
        <v>1017</v>
      </c>
      <c r="Q36" s="866"/>
      <c r="R36" s="866"/>
    </row>
    <row r="37" spans="3:5" ht="15.75">
      <c r="C37" s="75"/>
      <c r="D37" s="75"/>
      <c r="E37" s="75"/>
    </row>
  </sheetData>
  <mergeCells count="16">
    <mergeCell ref="A36:G36"/>
    <mergeCell ref="P36:R36"/>
    <mergeCell ref="L5:L6"/>
    <mergeCell ref="M5:O5"/>
    <mergeCell ref="P5:Q5"/>
    <mergeCell ref="R5:T5"/>
    <mergeCell ref="Q1:U1"/>
    <mergeCell ref="A2:U2"/>
    <mergeCell ref="A4:A6"/>
    <mergeCell ref="B4:B6"/>
    <mergeCell ref="C4:U4"/>
    <mergeCell ref="C5:C6"/>
    <mergeCell ref="D5:E5"/>
    <mergeCell ref="F5:I5"/>
    <mergeCell ref="J5:K5"/>
    <mergeCell ref="U5:U6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7" sqref="A37"/>
    </sheetView>
  </sheetViews>
  <sheetFormatPr defaultColWidth="9.140625" defaultRowHeight="12.75"/>
  <cols>
    <col min="1" max="1" width="32.140625" style="73" customWidth="1"/>
    <col min="2" max="2" width="7.140625" style="118" customWidth="1"/>
    <col min="3" max="3" width="6.140625" style="73" customWidth="1"/>
    <col min="4" max="4" width="14.421875" style="73" customWidth="1"/>
    <col min="5" max="5" width="7.140625" style="73" hidden="1" customWidth="1"/>
    <col min="6" max="6" width="7.140625" style="73" customWidth="1"/>
    <col min="7" max="7" width="5.57421875" style="73" customWidth="1"/>
    <col min="8" max="8" width="7.140625" style="73" hidden="1" customWidth="1"/>
    <col min="9" max="9" width="6.8515625" style="73" customWidth="1"/>
    <col min="10" max="11" width="6.28125" style="73" customWidth="1"/>
    <col min="12" max="12" width="4.57421875" style="73" customWidth="1"/>
    <col min="13" max="13" width="6.57421875" style="73" customWidth="1"/>
    <col min="14" max="14" width="5.8515625" style="73" customWidth="1"/>
    <col min="15" max="18" width="7.140625" style="73" customWidth="1"/>
    <col min="19" max="19" width="6.140625" style="73" customWidth="1"/>
    <col min="20" max="20" width="7.140625" style="73" hidden="1" customWidth="1"/>
    <col min="21" max="16384" width="7.140625" style="73" customWidth="1"/>
  </cols>
  <sheetData>
    <row r="1" spans="17:20" ht="15.75">
      <c r="Q1" s="869" t="s">
        <v>259</v>
      </c>
      <c r="R1" s="869"/>
      <c r="S1" s="869"/>
      <c r="T1" s="869"/>
    </row>
    <row r="2" spans="1:20" ht="12.75" customHeight="1">
      <c r="A2" s="853" t="s">
        <v>558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</row>
    <row r="3" spans="18:20" ht="15.75" customHeight="1">
      <c r="R3" s="868" t="s">
        <v>749</v>
      </c>
      <c r="S3" s="868"/>
      <c r="T3" s="120" t="s">
        <v>46</v>
      </c>
    </row>
    <row r="4" spans="1:20" s="120" customFormat="1" ht="12.75">
      <c r="A4" s="854" t="s">
        <v>744</v>
      </c>
      <c r="B4" s="854" t="s">
        <v>761</v>
      </c>
      <c r="C4" s="857" t="s">
        <v>943</v>
      </c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</row>
    <row r="5" spans="1:20" s="120" customFormat="1" ht="27.75" customHeight="1">
      <c r="A5" s="855"/>
      <c r="B5" s="855"/>
      <c r="C5" s="859" t="s">
        <v>47</v>
      </c>
      <c r="D5" s="857" t="s">
        <v>48</v>
      </c>
      <c r="E5" s="861"/>
      <c r="F5" s="857" t="s">
        <v>49</v>
      </c>
      <c r="G5" s="862"/>
      <c r="H5" s="862"/>
      <c r="I5" s="861"/>
      <c r="J5" s="863" t="s">
        <v>50</v>
      </c>
      <c r="K5" s="864"/>
      <c r="L5" s="859" t="s">
        <v>51</v>
      </c>
      <c r="M5" s="857" t="s">
        <v>52</v>
      </c>
      <c r="N5" s="867"/>
      <c r="O5" s="857" t="s">
        <v>53</v>
      </c>
      <c r="P5" s="867"/>
      <c r="Q5" s="857" t="s">
        <v>54</v>
      </c>
      <c r="R5" s="858"/>
      <c r="S5" s="867"/>
      <c r="T5" s="859" t="s">
        <v>70</v>
      </c>
    </row>
    <row r="6" spans="1:20" s="120" customFormat="1" ht="50.25" customHeight="1">
      <c r="A6" s="856"/>
      <c r="B6" s="856"/>
      <c r="C6" s="860"/>
      <c r="D6" s="581" t="s">
        <v>56</v>
      </c>
      <c r="E6" s="121" t="s">
        <v>57</v>
      </c>
      <c r="F6" s="121" t="s">
        <v>58</v>
      </c>
      <c r="G6" s="121" t="s">
        <v>59</v>
      </c>
      <c r="H6" s="121" t="s">
        <v>60</v>
      </c>
      <c r="I6" s="121" t="s">
        <v>61</v>
      </c>
      <c r="J6" s="582" t="s">
        <v>62</v>
      </c>
      <c r="K6" s="121" t="s">
        <v>61</v>
      </c>
      <c r="L6" s="860"/>
      <c r="M6" s="121" t="s">
        <v>63</v>
      </c>
      <c r="N6" s="121" t="s">
        <v>61</v>
      </c>
      <c r="O6" s="121" t="s">
        <v>65</v>
      </c>
      <c r="P6" s="121" t="s">
        <v>61</v>
      </c>
      <c r="Q6" s="121" t="s">
        <v>66</v>
      </c>
      <c r="R6" s="121" t="s">
        <v>67</v>
      </c>
      <c r="S6" s="121" t="s">
        <v>61</v>
      </c>
      <c r="T6" s="860"/>
    </row>
    <row r="7" spans="1:20" s="124" customFormat="1" ht="11.25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  <c r="S7" s="123">
        <v>19</v>
      </c>
      <c r="T7" s="123">
        <v>20</v>
      </c>
    </row>
    <row r="8" spans="1:20" ht="15.75">
      <c r="A8" s="111" t="s">
        <v>1032</v>
      </c>
      <c r="B8" s="134">
        <f>SUM(C8:T8)</f>
        <v>1.2</v>
      </c>
      <c r="C8" s="136">
        <v>1.2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ht="15.75">
      <c r="A9" s="111" t="s">
        <v>1033</v>
      </c>
      <c r="B9" s="134">
        <f aca="true" t="shared" si="0" ref="B9:B34">SUM(C9:T9)</f>
        <v>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ht="15.75">
      <c r="A10" s="111" t="s">
        <v>1034</v>
      </c>
      <c r="B10" s="134">
        <f t="shared" si="0"/>
        <v>44</v>
      </c>
      <c r="C10" s="136">
        <v>10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>
        <v>34</v>
      </c>
      <c r="P10" s="136"/>
      <c r="Q10" s="136"/>
      <c r="R10" s="136"/>
      <c r="S10" s="136"/>
      <c r="T10" s="136"/>
    </row>
    <row r="11" spans="1:20" ht="15.75">
      <c r="A11" s="111" t="s">
        <v>1035</v>
      </c>
      <c r="B11" s="134">
        <f t="shared" si="0"/>
        <v>20.2</v>
      </c>
      <c r="C11" s="136">
        <v>20.2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ht="15.75">
      <c r="A12" s="111" t="s">
        <v>1036</v>
      </c>
      <c r="B12" s="134">
        <f t="shared" si="0"/>
        <v>215</v>
      </c>
      <c r="C12" s="136">
        <v>215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0" ht="15.75">
      <c r="A13" s="111" t="s">
        <v>1037</v>
      </c>
      <c r="B13" s="134">
        <f t="shared" si="0"/>
        <v>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1:20" ht="15.75">
      <c r="A14" s="111" t="s">
        <v>1038</v>
      </c>
      <c r="B14" s="134">
        <f t="shared" si="0"/>
        <v>0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1:20" ht="15.75">
      <c r="A15" s="111" t="s">
        <v>1040</v>
      </c>
      <c r="B15" s="134">
        <f t="shared" si="0"/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ht="15.75">
      <c r="A16" s="111" t="s">
        <v>1041</v>
      </c>
      <c r="B16" s="134">
        <f t="shared" si="0"/>
        <v>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ht="15.75">
      <c r="A17" s="111" t="s">
        <v>1042</v>
      </c>
      <c r="B17" s="134">
        <f t="shared" si="0"/>
        <v>11.6</v>
      </c>
      <c r="C17" s="136">
        <v>1.7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>
        <v>9.9</v>
      </c>
      <c r="P17" s="136"/>
      <c r="Q17" s="136"/>
      <c r="R17" s="136"/>
      <c r="S17" s="136"/>
      <c r="T17" s="136"/>
    </row>
    <row r="18" spans="1:20" ht="15.75">
      <c r="A18" s="111" t="s">
        <v>1043</v>
      </c>
      <c r="B18" s="134">
        <f t="shared" si="0"/>
        <v>180.4</v>
      </c>
      <c r="C18" s="136">
        <v>176.8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>
        <v>3.6</v>
      </c>
      <c r="P18" s="136"/>
      <c r="Q18" s="136"/>
      <c r="R18" s="136"/>
      <c r="S18" s="136"/>
      <c r="T18" s="136"/>
    </row>
    <row r="19" spans="1:20" ht="15.75">
      <c r="A19" s="111" t="s">
        <v>1044</v>
      </c>
      <c r="B19" s="134">
        <f t="shared" si="0"/>
        <v>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5.75">
      <c r="A20" s="111" t="s">
        <v>1045</v>
      </c>
      <c r="B20" s="134">
        <f t="shared" si="0"/>
        <v>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 ht="15" customHeight="1">
      <c r="A21" s="111" t="s">
        <v>1046</v>
      </c>
      <c r="B21" s="134">
        <f t="shared" si="0"/>
        <v>0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5.75">
      <c r="A22" s="111" t="s">
        <v>1047</v>
      </c>
      <c r="B22" s="134">
        <f t="shared" si="0"/>
        <v>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ht="15.75">
      <c r="A23" s="111" t="s">
        <v>1048</v>
      </c>
      <c r="B23" s="134">
        <f t="shared" si="0"/>
        <v>4</v>
      </c>
      <c r="C23" s="136">
        <v>3.2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>
        <v>0.8</v>
      </c>
      <c r="S23" s="136"/>
      <c r="T23" s="136"/>
    </row>
    <row r="24" spans="1:20" ht="15.75">
      <c r="A24" s="111" t="s">
        <v>1049</v>
      </c>
      <c r="B24" s="134">
        <f t="shared" si="0"/>
        <v>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ht="15.75">
      <c r="A25" s="111" t="s">
        <v>1050</v>
      </c>
      <c r="B25" s="134">
        <f t="shared" si="0"/>
        <v>0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5.75">
      <c r="A26" s="111" t="s">
        <v>1051</v>
      </c>
      <c r="B26" s="134">
        <f t="shared" si="0"/>
        <v>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5.75">
      <c r="A27" s="111" t="s">
        <v>1052</v>
      </c>
      <c r="B27" s="134">
        <f t="shared" si="0"/>
        <v>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5.75">
      <c r="A28" s="111" t="s">
        <v>1053</v>
      </c>
      <c r="B28" s="134">
        <f t="shared" si="0"/>
        <v>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20" ht="15.75">
      <c r="A29" s="111" t="s">
        <v>1054</v>
      </c>
      <c r="B29" s="134">
        <f t="shared" si="0"/>
        <v>13.3</v>
      </c>
      <c r="C29" s="136">
        <v>13.3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ht="12.75" customHeight="1">
      <c r="A30" s="111" t="s">
        <v>1055</v>
      </c>
      <c r="B30" s="134">
        <f t="shared" si="0"/>
        <v>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ht="11.25" customHeight="1">
      <c r="A31" s="111" t="s">
        <v>68</v>
      </c>
      <c r="B31" s="134">
        <f t="shared" si="0"/>
        <v>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ht="15.75">
      <c r="A32" s="111" t="s">
        <v>1057</v>
      </c>
      <c r="B32" s="134">
        <f t="shared" si="0"/>
        <v>0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0" s="131" customFormat="1" ht="12.75">
      <c r="A33" s="128" t="s">
        <v>987</v>
      </c>
      <c r="B33" s="134">
        <f>SUM(C33:T33)</f>
        <v>489.7</v>
      </c>
      <c r="C33" s="135">
        <f>SUM(C8:C32)</f>
        <v>441.4</v>
      </c>
      <c r="D33" s="135">
        <f aca="true" t="shared" si="1" ref="D33:S33">SUM(D8:D32)</f>
        <v>0</v>
      </c>
      <c r="E33" s="135">
        <f t="shared" si="1"/>
        <v>0</v>
      </c>
      <c r="F33" s="135">
        <f t="shared" si="1"/>
        <v>0</v>
      </c>
      <c r="G33" s="135">
        <f t="shared" si="1"/>
        <v>0</v>
      </c>
      <c r="H33" s="135">
        <f t="shared" si="1"/>
        <v>0</v>
      </c>
      <c r="I33" s="135">
        <f t="shared" si="1"/>
        <v>0</v>
      </c>
      <c r="J33" s="135">
        <f t="shared" si="1"/>
        <v>0</v>
      </c>
      <c r="K33" s="135">
        <f t="shared" si="1"/>
        <v>0</v>
      </c>
      <c r="L33" s="135">
        <f t="shared" si="1"/>
        <v>0</v>
      </c>
      <c r="M33" s="135">
        <f t="shared" si="1"/>
        <v>0</v>
      </c>
      <c r="N33" s="135">
        <f t="shared" si="1"/>
        <v>0</v>
      </c>
      <c r="O33" s="135">
        <f t="shared" si="1"/>
        <v>47.5</v>
      </c>
      <c r="P33" s="135">
        <f t="shared" si="1"/>
        <v>0</v>
      </c>
      <c r="Q33" s="135">
        <f t="shared" si="1"/>
        <v>0</v>
      </c>
      <c r="R33" s="135">
        <f t="shared" si="1"/>
        <v>0.8</v>
      </c>
      <c r="S33" s="135">
        <f t="shared" si="1"/>
        <v>0</v>
      </c>
      <c r="T33" s="135">
        <f>SUM(T8:T32)</f>
        <v>0</v>
      </c>
    </row>
    <row r="34" spans="1:20" s="120" customFormat="1" ht="15" customHeight="1">
      <c r="A34" s="132" t="s">
        <v>920</v>
      </c>
      <c r="B34" s="134">
        <f t="shared" si="0"/>
        <v>45181.7</v>
      </c>
      <c r="C34" s="136">
        <v>8742.8</v>
      </c>
      <c r="D34" s="136">
        <v>2228.8</v>
      </c>
      <c r="E34" s="136">
        <v>0</v>
      </c>
      <c r="F34" s="136">
        <v>18</v>
      </c>
      <c r="G34" s="136">
        <v>150</v>
      </c>
      <c r="H34" s="136">
        <v>0</v>
      </c>
      <c r="I34" s="136">
        <v>96</v>
      </c>
      <c r="J34" s="136">
        <v>7270</v>
      </c>
      <c r="K34" s="136">
        <v>16</v>
      </c>
      <c r="L34" s="136">
        <v>65.6</v>
      </c>
      <c r="M34" s="136">
        <v>23309.6</v>
      </c>
      <c r="N34" s="136">
        <v>27.8</v>
      </c>
      <c r="O34" s="136">
        <v>127.8</v>
      </c>
      <c r="P34" s="136">
        <v>112</v>
      </c>
      <c r="Q34" s="136">
        <v>1006.5</v>
      </c>
      <c r="R34" s="136">
        <v>1993</v>
      </c>
      <c r="S34" s="136">
        <v>17.8</v>
      </c>
      <c r="T34" s="136"/>
    </row>
    <row r="35" spans="1:6" ht="15.75" hidden="1">
      <c r="A35" s="74"/>
      <c r="B35" s="133"/>
      <c r="C35" s="74"/>
      <c r="D35" s="74"/>
      <c r="E35" s="74"/>
      <c r="F35" s="74"/>
    </row>
    <row r="36" spans="1:17" ht="16.5" customHeight="1">
      <c r="A36" s="865" t="s">
        <v>261</v>
      </c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</row>
    <row r="37" spans="3:5" ht="15.75">
      <c r="C37" s="75"/>
      <c r="D37" s="75"/>
      <c r="E37" s="75"/>
    </row>
  </sheetData>
  <mergeCells count="16">
    <mergeCell ref="Q5:S5"/>
    <mergeCell ref="T5:T6"/>
    <mergeCell ref="M5:N5"/>
    <mergeCell ref="F5:I5"/>
    <mergeCell ref="J5:K5"/>
    <mergeCell ref="L5:L6"/>
    <mergeCell ref="R3:S3"/>
    <mergeCell ref="A36:Q36"/>
    <mergeCell ref="Q1:T1"/>
    <mergeCell ref="A2:T2"/>
    <mergeCell ref="A4:A6"/>
    <mergeCell ref="B4:B6"/>
    <mergeCell ref="C4:T4"/>
    <mergeCell ref="C5:C6"/>
    <mergeCell ref="D5:E5"/>
    <mergeCell ref="O5:P5"/>
  </mergeCells>
  <printOptions/>
  <pageMargins left="0.3937007874015748" right="0" top="0.1968503937007874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31.57421875" style="6" customWidth="1"/>
    <col min="2" max="2" width="10.421875" style="6" customWidth="1"/>
    <col min="3" max="3" width="9.28125" style="6" bestFit="1" customWidth="1"/>
    <col min="4" max="4" width="8.8515625" style="6" customWidth="1"/>
    <col min="5" max="5" width="11.57421875" style="6" customWidth="1"/>
    <col min="6" max="6" width="9.421875" style="6" customWidth="1"/>
    <col min="7" max="7" width="9.28125" style="6" bestFit="1" customWidth="1"/>
    <col min="8" max="8" width="9.28125" style="6" customWidth="1"/>
    <col min="9" max="9" width="10.00390625" style="6" customWidth="1"/>
    <col min="10" max="11" width="9.421875" style="6" bestFit="1" customWidth="1"/>
    <col min="12" max="16384" width="9.140625" style="6" customWidth="1"/>
  </cols>
  <sheetData>
    <row r="1" ht="12.75">
      <c r="K1" s="2" t="s">
        <v>684</v>
      </c>
    </row>
    <row r="2" ht="12.75">
      <c r="K2" s="2"/>
    </row>
    <row r="3" spans="1:11" ht="32.25" customHeight="1">
      <c r="A3" s="756" t="s">
        <v>454</v>
      </c>
      <c r="B3" s="756"/>
      <c r="C3" s="756"/>
      <c r="D3" s="756"/>
      <c r="E3" s="756"/>
      <c r="F3" s="929"/>
      <c r="G3" s="929"/>
      <c r="H3" s="929"/>
      <c r="I3" s="929"/>
      <c r="J3" s="929"/>
      <c r="K3" s="929"/>
    </row>
    <row r="4" spans="1:11" ht="15.75">
      <c r="A4" s="687"/>
      <c r="B4" s="687"/>
      <c r="C4" s="687"/>
      <c r="D4" s="687"/>
      <c r="E4" s="687"/>
      <c r="F4" s="43"/>
      <c r="G4" s="43"/>
      <c r="K4" s="6" t="s">
        <v>749</v>
      </c>
    </row>
    <row r="5" spans="1:12" s="8" customFormat="1" ht="51.75" customHeight="1">
      <c r="A5" s="875" t="s">
        <v>337</v>
      </c>
      <c r="B5" s="874" t="s">
        <v>338</v>
      </c>
      <c r="C5" s="874"/>
      <c r="D5" s="874"/>
      <c r="E5" s="874" t="s">
        <v>339</v>
      </c>
      <c r="F5" s="874"/>
      <c r="G5" s="874"/>
      <c r="H5" s="874" t="s">
        <v>340</v>
      </c>
      <c r="I5" s="874" t="s">
        <v>341</v>
      </c>
      <c r="J5" s="874" t="s">
        <v>342</v>
      </c>
      <c r="K5" s="874"/>
      <c r="L5" s="874"/>
    </row>
    <row r="6" spans="1:12" s="8" customFormat="1" ht="12.75" customHeight="1">
      <c r="A6" s="876"/>
      <c r="B6" s="874" t="s">
        <v>343</v>
      </c>
      <c r="C6" s="874" t="s">
        <v>344</v>
      </c>
      <c r="D6" s="874"/>
      <c r="E6" s="874" t="s">
        <v>343</v>
      </c>
      <c r="F6" s="878" t="s">
        <v>345</v>
      </c>
      <c r="G6" s="878"/>
      <c r="H6" s="874"/>
      <c r="I6" s="874"/>
      <c r="J6" s="874" t="s">
        <v>800</v>
      </c>
      <c r="K6" s="878" t="s">
        <v>345</v>
      </c>
      <c r="L6" s="878"/>
    </row>
    <row r="7" spans="1:12" s="8" customFormat="1" ht="24.75" customHeight="1">
      <c r="A7" s="876"/>
      <c r="B7" s="874"/>
      <c r="C7" s="874" t="s">
        <v>347</v>
      </c>
      <c r="D7" s="871" t="s">
        <v>348</v>
      </c>
      <c r="E7" s="874"/>
      <c r="F7" s="874" t="s">
        <v>349</v>
      </c>
      <c r="G7" s="874" t="s">
        <v>350</v>
      </c>
      <c r="H7" s="874"/>
      <c r="I7" s="874"/>
      <c r="J7" s="874"/>
      <c r="K7" s="874" t="s">
        <v>351</v>
      </c>
      <c r="L7" s="871" t="s">
        <v>348</v>
      </c>
    </row>
    <row r="8" spans="1:12" s="8" customFormat="1" ht="18.75" customHeight="1">
      <c r="A8" s="877"/>
      <c r="B8" s="874"/>
      <c r="C8" s="874"/>
      <c r="D8" s="872"/>
      <c r="E8" s="874"/>
      <c r="F8" s="874"/>
      <c r="G8" s="874"/>
      <c r="H8" s="874"/>
      <c r="I8" s="874"/>
      <c r="J8" s="874"/>
      <c r="K8" s="874"/>
      <c r="L8" s="872"/>
    </row>
    <row r="9" spans="1:12" s="8" customFormat="1" ht="12.75">
      <c r="A9" s="290">
        <v>1</v>
      </c>
      <c r="B9" s="290">
        <v>2</v>
      </c>
      <c r="C9" s="290">
        <v>3</v>
      </c>
      <c r="D9" s="290">
        <v>4</v>
      </c>
      <c r="E9" s="290">
        <v>5</v>
      </c>
      <c r="F9" s="290">
        <v>6</v>
      </c>
      <c r="G9" s="290">
        <v>7</v>
      </c>
      <c r="H9" s="290">
        <v>8</v>
      </c>
      <c r="I9" s="290">
        <v>9</v>
      </c>
      <c r="J9" s="290">
        <v>10</v>
      </c>
      <c r="K9" s="290">
        <v>11</v>
      </c>
      <c r="L9" s="290">
        <v>12</v>
      </c>
    </row>
    <row r="10" spans="1:12" s="44" customFormat="1" ht="23.25" customHeight="1">
      <c r="A10" s="873" t="s">
        <v>352</v>
      </c>
      <c r="B10" s="873"/>
      <c r="C10" s="873"/>
      <c r="D10" s="873"/>
      <c r="E10" s="873"/>
      <c r="F10" s="873"/>
      <c r="G10" s="873"/>
      <c r="H10" s="873"/>
      <c r="I10" s="873"/>
      <c r="J10" s="873"/>
      <c r="K10" s="873"/>
      <c r="L10" s="873"/>
    </row>
    <row r="11" spans="1:12" s="8" customFormat="1" ht="14.25" customHeight="1">
      <c r="A11" s="150" t="s">
        <v>354</v>
      </c>
      <c r="B11" s="290">
        <f>C11+D11</f>
        <v>26825.34</v>
      </c>
      <c r="C11" s="290">
        <f>15498.58+6126.76</f>
        <v>21625.34</v>
      </c>
      <c r="D11" s="290">
        <v>5200</v>
      </c>
      <c r="E11" s="290">
        <f>F11+G11</f>
        <v>6126.76</v>
      </c>
      <c r="F11" s="290">
        <v>6126.76</v>
      </c>
      <c r="G11" s="290"/>
      <c r="H11" s="290"/>
      <c r="I11" s="290"/>
      <c r="J11" s="290">
        <f>K11+L11</f>
        <v>5092.05</v>
      </c>
      <c r="K11" s="290"/>
      <c r="L11" s="290">
        <v>5092.05</v>
      </c>
    </row>
    <row r="12" spans="1:12" s="8" customFormat="1" ht="15.75" customHeight="1">
      <c r="A12" s="150" t="s">
        <v>355</v>
      </c>
      <c r="B12" s="290">
        <f>C12+D12</f>
        <v>30670</v>
      </c>
      <c r="C12" s="290">
        <v>23000</v>
      </c>
      <c r="D12" s="290">
        <v>7670</v>
      </c>
      <c r="E12" s="290">
        <f>F12+G12</f>
        <v>0</v>
      </c>
      <c r="F12" s="290"/>
      <c r="G12" s="290"/>
      <c r="H12" s="290"/>
      <c r="I12" s="290">
        <v>3822</v>
      </c>
      <c r="J12" s="290">
        <f>K12+L12</f>
        <v>4775.4</v>
      </c>
      <c r="K12" s="290"/>
      <c r="L12" s="290">
        <v>4775.4</v>
      </c>
    </row>
    <row r="13" spans="1:12" s="8" customFormat="1" ht="14.25" customHeight="1">
      <c r="A13" s="150" t="s">
        <v>356</v>
      </c>
      <c r="B13" s="290">
        <f>C13+D13</f>
        <v>14959.45</v>
      </c>
      <c r="C13" s="290">
        <f>10000+521.5</f>
        <v>10521.5</v>
      </c>
      <c r="D13" s="290">
        <v>4437.95</v>
      </c>
      <c r="E13" s="290">
        <f>F13+G13</f>
        <v>521.5</v>
      </c>
      <c r="F13" s="290">
        <v>521.5</v>
      </c>
      <c r="G13" s="290"/>
      <c r="H13" s="290">
        <v>511.94</v>
      </c>
      <c r="I13" s="290"/>
      <c r="J13" s="290">
        <f>K13+L13</f>
        <v>2394.96</v>
      </c>
      <c r="K13" s="290">
        <v>511.93</v>
      </c>
      <c r="L13" s="290">
        <v>1883.03</v>
      </c>
    </row>
    <row r="14" spans="1:12" s="8" customFormat="1" ht="18" customHeight="1">
      <c r="A14" s="150" t="s">
        <v>357</v>
      </c>
      <c r="B14" s="290">
        <f>C14+D14</f>
        <v>29916.42</v>
      </c>
      <c r="C14" s="290">
        <f>19357.42+5059</f>
        <v>24416.42</v>
      </c>
      <c r="D14" s="290">
        <v>5500</v>
      </c>
      <c r="E14" s="290">
        <f>F14+G14</f>
        <v>5625.817</v>
      </c>
      <c r="F14" s="290">
        <f>5059+566.817</f>
        <v>5625.817</v>
      </c>
      <c r="G14" s="290"/>
      <c r="H14" s="290">
        <v>18100</v>
      </c>
      <c r="I14" s="290">
        <v>21617.6</v>
      </c>
      <c r="J14" s="290">
        <f>K14+L14</f>
        <v>21266.817</v>
      </c>
      <c r="K14" s="290">
        <v>15766.817</v>
      </c>
      <c r="L14" s="290">
        <v>5500</v>
      </c>
    </row>
    <row r="15" spans="1:12" s="8" customFormat="1" ht="38.25">
      <c r="A15" s="150" t="s">
        <v>455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</row>
    <row r="16" spans="1:12" s="8" customFormat="1" ht="25.5">
      <c r="A16" s="150" t="s">
        <v>456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  <row r="17" spans="1:12" s="114" customFormat="1" ht="20.25" customHeight="1">
      <c r="A17" s="291" t="s">
        <v>358</v>
      </c>
      <c r="B17" s="292">
        <f>C17+D17</f>
        <v>102371.21</v>
      </c>
      <c r="C17" s="292">
        <f aca="true" t="shared" si="0" ref="C17:L17">SUM(C11:C14)</f>
        <v>79563.26</v>
      </c>
      <c r="D17" s="292">
        <f t="shared" si="0"/>
        <v>22807.95</v>
      </c>
      <c r="E17" s="292">
        <f t="shared" si="0"/>
        <v>12274.077</v>
      </c>
      <c r="F17" s="930">
        <f t="shared" si="0"/>
        <v>12274.077</v>
      </c>
      <c r="G17" s="292">
        <f t="shared" si="0"/>
        <v>0</v>
      </c>
      <c r="H17" s="292">
        <f t="shared" si="0"/>
        <v>18611.94</v>
      </c>
      <c r="I17" s="292">
        <f t="shared" si="0"/>
        <v>25439.6</v>
      </c>
      <c r="J17" s="930">
        <f t="shared" si="0"/>
        <v>33529.227</v>
      </c>
      <c r="K17" s="930">
        <f t="shared" si="0"/>
        <v>16278.747</v>
      </c>
      <c r="L17" s="292">
        <f t="shared" si="0"/>
        <v>17250.48</v>
      </c>
    </row>
    <row r="18" spans="1:12" s="933" customFormat="1" ht="20.25" customHeight="1">
      <c r="A18" s="931"/>
      <c r="B18" s="932"/>
      <c r="C18" s="932"/>
      <c r="D18" s="932"/>
      <c r="E18" s="932"/>
      <c r="F18" s="932"/>
      <c r="G18" s="932"/>
      <c r="H18" s="932"/>
      <c r="I18" s="932"/>
      <c r="J18" s="932"/>
      <c r="K18" s="932"/>
      <c r="L18" s="932"/>
    </row>
    <row r="19" spans="1:12" s="933" customFormat="1" ht="20.25" customHeight="1">
      <c r="A19" s="931"/>
      <c r="B19" s="932"/>
      <c r="C19" s="932"/>
      <c r="D19" s="932"/>
      <c r="E19" s="932"/>
      <c r="F19" s="932"/>
      <c r="G19" s="932"/>
      <c r="H19" s="932"/>
      <c r="I19" s="932"/>
      <c r="J19" s="932"/>
      <c r="K19" s="932"/>
      <c r="L19" s="932"/>
    </row>
    <row r="20" spans="1:12" s="8" customFormat="1" ht="21" customHeight="1">
      <c r="A20" s="934" t="s">
        <v>678</v>
      </c>
      <c r="B20" s="934"/>
      <c r="C20" s="934"/>
      <c r="D20" s="934"/>
      <c r="E20" s="934"/>
      <c r="F20" s="934"/>
      <c r="G20" s="934"/>
      <c r="H20" s="934"/>
      <c r="I20" s="934"/>
      <c r="J20" s="934"/>
      <c r="K20" s="934"/>
      <c r="L20" s="934"/>
    </row>
    <row r="21" spans="1:12" s="8" customFormat="1" ht="25.5">
      <c r="A21" s="150" t="s">
        <v>679</v>
      </c>
      <c r="B21" s="290">
        <f>C21+D21</f>
        <v>39000</v>
      </c>
      <c r="C21" s="290">
        <v>29250</v>
      </c>
      <c r="D21" s="290">
        <f>7440+2310</f>
        <v>9750</v>
      </c>
      <c r="E21" s="290">
        <f>F21+G21</f>
        <v>0</v>
      </c>
      <c r="F21" s="290"/>
      <c r="G21" s="290"/>
      <c r="H21" s="290"/>
      <c r="I21" s="290">
        <v>7440</v>
      </c>
      <c r="J21" s="290">
        <f>K21+L21</f>
        <v>147.59</v>
      </c>
      <c r="K21" s="290"/>
      <c r="L21" s="290">
        <v>147.59</v>
      </c>
    </row>
    <row r="22" spans="1:12" s="8" customFormat="1" ht="25.5">
      <c r="A22" s="150" t="s">
        <v>680</v>
      </c>
      <c r="B22" s="290">
        <v>44000</v>
      </c>
      <c r="C22" s="290">
        <v>33000</v>
      </c>
      <c r="D22" s="290">
        <f>2300+8700</f>
        <v>11000</v>
      </c>
      <c r="E22" s="290">
        <f>F22+G22</f>
        <v>0</v>
      </c>
      <c r="F22" s="290"/>
      <c r="G22" s="290"/>
      <c r="H22" s="290"/>
      <c r="I22" s="290"/>
      <c r="J22" s="290">
        <f>K22+L22</f>
        <v>195.12</v>
      </c>
      <c r="K22" s="290"/>
      <c r="L22" s="290">
        <v>195.12</v>
      </c>
    </row>
    <row r="23" spans="1:12" s="8" customFormat="1" ht="25.5">
      <c r="A23" s="150" t="s">
        <v>681</v>
      </c>
      <c r="B23" s="290">
        <f>C23+D23</f>
        <v>4200</v>
      </c>
      <c r="C23" s="290">
        <v>3100</v>
      </c>
      <c r="D23" s="290">
        <v>1100</v>
      </c>
      <c r="E23" s="290"/>
      <c r="F23" s="290"/>
      <c r="G23" s="290"/>
      <c r="H23" s="290"/>
      <c r="I23" s="290"/>
      <c r="J23" s="290">
        <v>640</v>
      </c>
      <c r="K23" s="290"/>
      <c r="L23" s="290">
        <v>640</v>
      </c>
    </row>
    <row r="24" spans="1:12" s="8" customFormat="1" ht="27" customHeight="1">
      <c r="A24" s="291" t="s">
        <v>682</v>
      </c>
      <c r="B24" s="290">
        <f>C24+D24</f>
        <v>87200</v>
      </c>
      <c r="C24" s="290">
        <f aca="true" t="shared" si="1" ref="C24:L24">SUM(C21:C23)</f>
        <v>65350</v>
      </c>
      <c r="D24" s="290">
        <f t="shared" si="1"/>
        <v>21850</v>
      </c>
      <c r="E24" s="290">
        <f t="shared" si="1"/>
        <v>0</v>
      </c>
      <c r="F24" s="290">
        <f t="shared" si="1"/>
        <v>0</v>
      </c>
      <c r="G24" s="290">
        <f t="shared" si="1"/>
        <v>0</v>
      </c>
      <c r="H24" s="290">
        <f t="shared" si="1"/>
        <v>0</v>
      </c>
      <c r="I24" s="290">
        <f t="shared" si="1"/>
        <v>7440</v>
      </c>
      <c r="J24" s="290">
        <f t="shared" si="1"/>
        <v>982.71</v>
      </c>
      <c r="K24" s="290">
        <f t="shared" si="1"/>
        <v>0</v>
      </c>
      <c r="L24" s="290">
        <f t="shared" si="1"/>
        <v>982.71</v>
      </c>
    </row>
    <row r="25" spans="1:12" s="8" customFormat="1" ht="14.25" customHeight="1">
      <c r="A25" s="150" t="s">
        <v>683</v>
      </c>
      <c r="B25" s="290">
        <f>C25+D25</f>
        <v>0</v>
      </c>
      <c r="C25" s="290">
        <v>0</v>
      </c>
      <c r="D25" s="290">
        <v>0</v>
      </c>
      <c r="E25" s="290">
        <f>F25+G25</f>
        <v>0</v>
      </c>
      <c r="F25" s="290"/>
      <c r="G25" s="290"/>
      <c r="H25" s="290"/>
      <c r="I25" s="290"/>
      <c r="J25" s="290">
        <f>K25+L25</f>
        <v>0</v>
      </c>
      <c r="K25" s="290"/>
      <c r="L25" s="290"/>
    </row>
    <row r="26" spans="1:12" s="114" customFormat="1" ht="12.75">
      <c r="A26" s="291" t="s">
        <v>800</v>
      </c>
      <c r="B26" s="292">
        <f aca="true" t="shared" si="2" ref="B26:L26">B17+B24+B25</f>
        <v>189571.21</v>
      </c>
      <c r="C26" s="292">
        <f t="shared" si="2"/>
        <v>144913.26</v>
      </c>
      <c r="D26" s="292">
        <f t="shared" si="2"/>
        <v>44657.95</v>
      </c>
      <c r="E26" s="292">
        <f t="shared" si="2"/>
        <v>12274.077</v>
      </c>
      <c r="F26" s="292">
        <f t="shared" si="2"/>
        <v>12274.077</v>
      </c>
      <c r="G26" s="292">
        <f t="shared" si="2"/>
        <v>0</v>
      </c>
      <c r="H26" s="292">
        <f t="shared" si="2"/>
        <v>18611.94</v>
      </c>
      <c r="I26" s="292">
        <f t="shared" si="2"/>
        <v>32879.6</v>
      </c>
      <c r="J26" s="292">
        <f t="shared" si="2"/>
        <v>34511.937</v>
      </c>
      <c r="K26" s="292">
        <f t="shared" si="2"/>
        <v>16278.747</v>
      </c>
      <c r="L26" s="292">
        <f t="shared" si="2"/>
        <v>18233.19</v>
      </c>
    </row>
    <row r="27" spans="1:12" s="114" customFormat="1" ht="12.75">
      <c r="A27" s="931"/>
      <c r="B27" s="932"/>
      <c r="C27" s="932"/>
      <c r="D27" s="932"/>
      <c r="E27" s="932"/>
      <c r="F27" s="932"/>
      <c r="G27" s="932"/>
      <c r="H27" s="932"/>
      <c r="I27" s="932"/>
      <c r="J27" s="932"/>
      <c r="K27" s="932"/>
      <c r="L27" s="932"/>
    </row>
    <row r="29" spans="1:11" ht="15" customHeight="1">
      <c r="A29" s="25" t="s">
        <v>932</v>
      </c>
      <c r="B29" s="935"/>
      <c r="C29" s="935"/>
      <c r="D29" s="935"/>
      <c r="E29" s="935"/>
      <c r="F29" s="935"/>
      <c r="G29" s="936" t="s">
        <v>1017</v>
      </c>
      <c r="H29" s="936"/>
      <c r="I29" s="936"/>
      <c r="J29" s="20"/>
      <c r="K29" s="20"/>
    </row>
  </sheetData>
  <mergeCells count="22">
    <mergeCell ref="A3:K3"/>
    <mergeCell ref="A20:L20"/>
    <mergeCell ref="G29:I29"/>
    <mergeCell ref="E6:E8"/>
    <mergeCell ref="F6:G6"/>
    <mergeCell ref="G7:G8"/>
    <mergeCell ref="K6:L6"/>
    <mergeCell ref="A5:A8"/>
    <mergeCell ref="B5:D5"/>
    <mergeCell ref="E5:G5"/>
    <mergeCell ref="H5:H8"/>
    <mergeCell ref="I5:I8"/>
    <mergeCell ref="C7:C8"/>
    <mergeCell ref="J5:L5"/>
    <mergeCell ref="B6:B8"/>
    <mergeCell ref="C6:D6"/>
    <mergeCell ref="J6:J8"/>
    <mergeCell ref="K7:K8"/>
    <mergeCell ref="L7:L8"/>
    <mergeCell ref="A10:L10"/>
    <mergeCell ref="D7:D8"/>
    <mergeCell ref="F7:F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4">
      <selection activeCell="K39" sqref="K39"/>
    </sheetView>
  </sheetViews>
  <sheetFormatPr defaultColWidth="9.140625" defaultRowHeight="12.75"/>
  <cols>
    <col min="1" max="1" width="2.7109375" style="340" customWidth="1"/>
    <col min="2" max="2" width="15.8515625" style="372" customWidth="1"/>
    <col min="3" max="4" width="7.57421875" style="372" customWidth="1"/>
    <col min="5" max="6" width="7.7109375" style="372" customWidth="1"/>
    <col min="7" max="7" width="7.140625" style="373" customWidth="1"/>
    <col min="8" max="8" width="7.421875" style="373" customWidth="1"/>
    <col min="9" max="9" width="7.7109375" style="373" customWidth="1"/>
    <col min="10" max="10" width="8.28125" style="373" customWidth="1"/>
    <col min="11" max="14" width="7.140625" style="373" customWidth="1"/>
    <col min="15" max="15" width="9.421875" style="373" customWidth="1"/>
    <col min="16" max="16" width="7.7109375" style="373" customWidth="1"/>
    <col min="17" max="17" width="8.421875" style="373" customWidth="1"/>
    <col min="18" max="18" width="7.8515625" style="373" customWidth="1"/>
    <col min="19" max="19" width="7.7109375" style="373" customWidth="1"/>
    <col min="20" max="20" width="7.140625" style="373" customWidth="1"/>
    <col min="21" max="22" width="6.7109375" style="373" customWidth="1"/>
    <col min="23" max="24" width="8.421875" style="373" customWidth="1"/>
    <col min="25" max="25" width="7.421875" style="373" customWidth="1"/>
    <col min="26" max="26" width="9.57421875" style="373" customWidth="1"/>
    <col min="27" max="28" width="8.00390625" style="373" customWidth="1"/>
    <col min="29" max="29" width="8.140625" style="373" customWidth="1"/>
    <col min="30" max="30" width="7.7109375" style="373" customWidth="1"/>
    <col min="31" max="31" width="10.140625" style="373" customWidth="1"/>
    <col min="32" max="32" width="10.57421875" style="339" customWidth="1"/>
    <col min="33" max="33" width="14.7109375" style="339" customWidth="1"/>
    <col min="34" max="16384" width="9.140625" style="339" customWidth="1"/>
  </cols>
  <sheetData>
    <row r="1" spans="1:28" s="336" customFormat="1" ht="15" hidden="1">
      <c r="A1" s="334"/>
      <c r="B1" s="335"/>
      <c r="C1" s="335"/>
      <c r="D1" s="335"/>
      <c r="E1" s="335"/>
      <c r="F1" s="335"/>
      <c r="Y1" s="335" t="s">
        <v>359</v>
      </c>
      <c r="Z1" s="335"/>
      <c r="AA1" s="335"/>
      <c r="AB1" s="335"/>
    </row>
    <row r="2" spans="1:28" s="336" customFormat="1" ht="15" hidden="1">
      <c r="A2" s="334"/>
      <c r="B2" s="335"/>
      <c r="C2" s="335"/>
      <c r="D2" s="335"/>
      <c r="E2" s="335"/>
      <c r="F2" s="335"/>
      <c r="Y2" s="335" t="s">
        <v>360</v>
      </c>
      <c r="Z2" s="335"/>
      <c r="AA2" s="335"/>
      <c r="AB2" s="335"/>
    </row>
    <row r="3" spans="1:28" s="336" customFormat="1" ht="15" hidden="1">
      <c r="A3" s="334"/>
      <c r="B3" s="335"/>
      <c r="C3" s="335"/>
      <c r="D3" s="335"/>
      <c r="E3" s="335"/>
      <c r="F3" s="335"/>
      <c r="Y3" s="335" t="s">
        <v>361</v>
      </c>
      <c r="Z3" s="335"/>
      <c r="AA3" s="335"/>
      <c r="AB3" s="335"/>
    </row>
    <row r="4" spans="1:28" s="336" customFormat="1" ht="15">
      <c r="A4" s="334"/>
      <c r="B4" s="335"/>
      <c r="C4" s="335"/>
      <c r="D4" s="335"/>
      <c r="E4" s="335"/>
      <c r="F4" s="335"/>
      <c r="Q4" s="336" t="s">
        <v>746</v>
      </c>
      <c r="Y4" s="335"/>
      <c r="Z4" s="335"/>
      <c r="AA4" s="335"/>
      <c r="AB4" s="335"/>
    </row>
    <row r="5" spans="1:28" s="336" customFormat="1" ht="15">
      <c r="A5" s="334"/>
      <c r="B5" s="335"/>
      <c r="C5" s="335"/>
      <c r="D5" s="335"/>
      <c r="E5" s="335"/>
      <c r="F5" s="335"/>
      <c r="Y5" s="335"/>
      <c r="Z5" s="335"/>
      <c r="AA5" s="335"/>
      <c r="AB5" s="335"/>
    </row>
    <row r="6" spans="1:31" ht="15.75">
      <c r="A6" s="337"/>
      <c r="B6" s="723" t="s">
        <v>603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</row>
    <row r="7" spans="2:31" ht="14.25" customHeight="1"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724" t="s">
        <v>764</v>
      </c>
      <c r="R7" s="724"/>
      <c r="S7" s="724"/>
      <c r="T7" s="340"/>
      <c r="U7" s="340"/>
      <c r="V7" s="340"/>
      <c r="W7" s="340"/>
      <c r="X7" s="340"/>
      <c r="Y7" s="340"/>
      <c r="Z7" s="340"/>
      <c r="AA7" s="340"/>
      <c r="AB7" s="340"/>
      <c r="AC7" s="725"/>
      <c r="AD7" s="725"/>
      <c r="AE7" s="725"/>
    </row>
    <row r="8" spans="1:33" s="343" customFormat="1" ht="57" customHeight="1">
      <c r="A8" s="341"/>
      <c r="B8" s="342" t="s">
        <v>744</v>
      </c>
      <c r="C8" s="717" t="s">
        <v>362</v>
      </c>
      <c r="D8" s="718"/>
      <c r="E8" s="719" t="s">
        <v>363</v>
      </c>
      <c r="F8" s="720"/>
      <c r="G8" s="717" t="s">
        <v>364</v>
      </c>
      <c r="H8" s="718"/>
      <c r="I8" s="717" t="s">
        <v>365</v>
      </c>
      <c r="J8" s="718"/>
      <c r="K8" s="717" t="s">
        <v>366</v>
      </c>
      <c r="L8" s="718"/>
      <c r="M8" s="717" t="s">
        <v>367</v>
      </c>
      <c r="N8" s="718"/>
      <c r="O8" s="717" t="s">
        <v>368</v>
      </c>
      <c r="P8" s="718"/>
      <c r="Q8" s="717" t="s">
        <v>369</v>
      </c>
      <c r="R8" s="718"/>
      <c r="S8" s="717" t="s">
        <v>370</v>
      </c>
      <c r="T8" s="718"/>
      <c r="U8" s="717" t="s">
        <v>371</v>
      </c>
      <c r="V8" s="718"/>
      <c r="W8" s="717" t="s">
        <v>372</v>
      </c>
      <c r="X8" s="718"/>
      <c r="Y8" s="717" t="s">
        <v>373</v>
      </c>
      <c r="Z8" s="718"/>
      <c r="AA8" s="719" t="s">
        <v>374</v>
      </c>
      <c r="AB8" s="720"/>
      <c r="AC8" s="719" t="s">
        <v>375</v>
      </c>
      <c r="AD8" s="720"/>
      <c r="AE8" s="721" t="s">
        <v>820</v>
      </c>
      <c r="AF8" s="722"/>
      <c r="AG8" s="342" t="s">
        <v>744</v>
      </c>
    </row>
    <row r="9" spans="1:33" s="343" customFormat="1" ht="11.25">
      <c r="A9" s="341"/>
      <c r="B9" s="344"/>
      <c r="C9" s="345" t="s">
        <v>719</v>
      </c>
      <c r="D9" s="345" t="s">
        <v>376</v>
      </c>
      <c r="E9" s="345" t="s">
        <v>719</v>
      </c>
      <c r="F9" s="345" t="s">
        <v>376</v>
      </c>
      <c r="G9" s="345" t="s">
        <v>719</v>
      </c>
      <c r="H9" s="345" t="s">
        <v>376</v>
      </c>
      <c r="I9" s="345" t="s">
        <v>719</v>
      </c>
      <c r="J9" s="345" t="s">
        <v>376</v>
      </c>
      <c r="K9" s="345" t="s">
        <v>719</v>
      </c>
      <c r="L9" s="345" t="s">
        <v>376</v>
      </c>
      <c r="M9" s="345" t="s">
        <v>719</v>
      </c>
      <c r="N9" s="345" t="s">
        <v>376</v>
      </c>
      <c r="O9" s="345" t="s">
        <v>719</v>
      </c>
      <c r="P9" s="345" t="s">
        <v>376</v>
      </c>
      <c r="Q9" s="345" t="s">
        <v>719</v>
      </c>
      <c r="R9" s="345" t="s">
        <v>376</v>
      </c>
      <c r="S9" s="345" t="s">
        <v>719</v>
      </c>
      <c r="T9" s="345" t="s">
        <v>376</v>
      </c>
      <c r="U9" s="345" t="s">
        <v>719</v>
      </c>
      <c r="V9" s="345" t="s">
        <v>376</v>
      </c>
      <c r="W9" s="345" t="s">
        <v>719</v>
      </c>
      <c r="X9" s="345" t="s">
        <v>376</v>
      </c>
      <c r="Y9" s="345" t="s">
        <v>719</v>
      </c>
      <c r="Z9" s="345" t="s">
        <v>376</v>
      </c>
      <c r="AA9" s="345" t="s">
        <v>719</v>
      </c>
      <c r="AB9" s="345" t="s">
        <v>376</v>
      </c>
      <c r="AC9" s="345" t="s">
        <v>719</v>
      </c>
      <c r="AD9" s="345" t="s">
        <v>376</v>
      </c>
      <c r="AE9" s="345" t="s">
        <v>719</v>
      </c>
      <c r="AF9" s="345" t="s">
        <v>376</v>
      </c>
      <c r="AG9" s="344"/>
    </row>
    <row r="10" spans="1:33" s="343" customFormat="1" ht="11.25">
      <c r="A10" s="341">
        <v>1</v>
      </c>
      <c r="B10" s="346">
        <v>2</v>
      </c>
      <c r="C10" s="345">
        <v>3</v>
      </c>
      <c r="D10" s="345">
        <v>4</v>
      </c>
      <c r="E10" s="345">
        <v>5</v>
      </c>
      <c r="F10" s="345">
        <v>6</v>
      </c>
      <c r="G10" s="345">
        <v>7</v>
      </c>
      <c r="H10" s="345">
        <v>8</v>
      </c>
      <c r="I10" s="345">
        <v>9</v>
      </c>
      <c r="J10" s="345">
        <v>10</v>
      </c>
      <c r="K10" s="345">
        <v>11</v>
      </c>
      <c r="L10" s="345">
        <v>12</v>
      </c>
      <c r="M10" s="345">
        <v>13</v>
      </c>
      <c r="N10" s="345">
        <v>14</v>
      </c>
      <c r="O10" s="345">
        <v>15</v>
      </c>
      <c r="P10" s="345">
        <v>16</v>
      </c>
      <c r="Q10" s="345">
        <v>17</v>
      </c>
      <c r="R10" s="345">
        <v>18</v>
      </c>
      <c r="S10" s="345">
        <v>19</v>
      </c>
      <c r="T10" s="345">
        <v>20</v>
      </c>
      <c r="U10" s="345">
        <v>21</v>
      </c>
      <c r="V10" s="345">
        <v>22</v>
      </c>
      <c r="W10" s="345">
        <v>23</v>
      </c>
      <c r="X10" s="345">
        <v>24</v>
      </c>
      <c r="Y10" s="345">
        <v>25</v>
      </c>
      <c r="Z10" s="345">
        <v>26</v>
      </c>
      <c r="AA10" s="345">
        <v>27</v>
      </c>
      <c r="AB10" s="345">
        <v>28</v>
      </c>
      <c r="AC10" s="345">
        <v>29</v>
      </c>
      <c r="AD10" s="345">
        <v>30</v>
      </c>
      <c r="AE10" s="345">
        <v>31</v>
      </c>
      <c r="AF10" s="345">
        <v>32</v>
      </c>
      <c r="AG10" s="344">
        <v>33</v>
      </c>
    </row>
    <row r="11" spans="1:33" ht="13.5" customHeight="1">
      <c r="A11" s="347">
        <v>1</v>
      </c>
      <c r="B11" s="348" t="s">
        <v>720</v>
      </c>
      <c r="C11" s="349">
        <v>11.8</v>
      </c>
      <c r="D11" s="349">
        <v>11.8</v>
      </c>
      <c r="E11" s="349">
        <v>4.1</v>
      </c>
      <c r="F11" s="349">
        <v>4.1</v>
      </c>
      <c r="G11" s="350">
        <v>0</v>
      </c>
      <c r="H11" s="350">
        <v>0</v>
      </c>
      <c r="I11" s="350">
        <v>100</v>
      </c>
      <c r="J11" s="350">
        <v>100</v>
      </c>
      <c r="K11" s="351">
        <v>0</v>
      </c>
      <c r="L11" s="351">
        <v>0</v>
      </c>
      <c r="M11" s="349">
        <v>0</v>
      </c>
      <c r="N11" s="349">
        <v>0</v>
      </c>
      <c r="O11" s="351">
        <v>0</v>
      </c>
      <c r="P11" s="351">
        <v>0</v>
      </c>
      <c r="Q11" s="349">
        <v>0</v>
      </c>
      <c r="R11" s="349">
        <v>0</v>
      </c>
      <c r="S11" s="349">
        <v>0</v>
      </c>
      <c r="T11" s="349">
        <v>0</v>
      </c>
      <c r="U11" s="349">
        <v>0</v>
      </c>
      <c r="V11" s="349">
        <v>0</v>
      </c>
      <c r="W11" s="349">
        <v>0</v>
      </c>
      <c r="X11" s="349">
        <v>0</v>
      </c>
      <c r="Y11" s="351">
        <v>0</v>
      </c>
      <c r="Z11" s="351">
        <v>0</v>
      </c>
      <c r="AA11" s="352">
        <v>17.7</v>
      </c>
      <c r="AB11" s="352">
        <v>17.7</v>
      </c>
      <c r="AC11" s="352">
        <v>6</v>
      </c>
      <c r="AD11" s="352">
        <v>6</v>
      </c>
      <c r="AE11" s="353">
        <f>C11+E11+G11+I11+K11+M11+O11+Q11+S11+U11+W11+Y11+AA11+AC11</f>
        <v>139.6</v>
      </c>
      <c r="AF11" s="353">
        <f>F11+H11+J11+L11+N11+P11+R11+T11+V11+X11+Z11+AB11+AD11+D11</f>
        <v>139.6</v>
      </c>
      <c r="AG11" s="348" t="s">
        <v>720</v>
      </c>
    </row>
    <row r="12" spans="1:33" ht="13.5" customHeight="1">
      <c r="A12" s="347">
        <v>2</v>
      </c>
      <c r="B12" s="348" t="s">
        <v>721</v>
      </c>
      <c r="C12" s="349">
        <v>7.65</v>
      </c>
      <c r="D12" s="349">
        <v>7.65</v>
      </c>
      <c r="E12" s="349">
        <v>4.1</v>
      </c>
      <c r="F12" s="349">
        <v>4.1</v>
      </c>
      <c r="G12" s="350">
        <v>100</v>
      </c>
      <c r="H12" s="350">
        <v>100</v>
      </c>
      <c r="I12" s="350">
        <v>400</v>
      </c>
      <c r="J12" s="350">
        <v>400</v>
      </c>
      <c r="K12" s="351">
        <v>2700</v>
      </c>
      <c r="L12" s="351">
        <v>2700</v>
      </c>
      <c r="M12" s="349">
        <v>40.5</v>
      </c>
      <c r="N12" s="349">
        <v>40.5</v>
      </c>
      <c r="O12" s="351">
        <v>0</v>
      </c>
      <c r="P12" s="351">
        <v>0</v>
      </c>
      <c r="Q12" s="349">
        <v>0</v>
      </c>
      <c r="R12" s="349">
        <v>0</v>
      </c>
      <c r="S12" s="349">
        <v>0</v>
      </c>
      <c r="T12" s="349">
        <v>0</v>
      </c>
      <c r="U12" s="349">
        <v>0</v>
      </c>
      <c r="V12" s="349">
        <v>0</v>
      </c>
      <c r="W12" s="349">
        <v>0</v>
      </c>
      <c r="X12" s="349">
        <v>0</v>
      </c>
      <c r="Y12" s="351">
        <v>3207</v>
      </c>
      <c r="Z12" s="351">
        <v>3207</v>
      </c>
      <c r="AA12" s="349">
        <v>13.3</v>
      </c>
      <c r="AB12" s="349">
        <v>13.3</v>
      </c>
      <c r="AC12" s="349">
        <v>15</v>
      </c>
      <c r="AD12" s="349">
        <v>15</v>
      </c>
      <c r="AE12" s="353">
        <f aca="true" t="shared" si="0" ref="AE12:AE35">C12+E12+G12+I12+K12+M12+O12+Q12+S12+U12+W12+Y12+AA12+AC12</f>
        <v>6487.55</v>
      </c>
      <c r="AF12" s="353">
        <f aca="true" t="shared" si="1" ref="AF12:AF35">F12+H12+J12+L12+N12+P12+R12+T12+V12+X12+Z12+AB12+AD12+D12</f>
        <v>6487.55</v>
      </c>
      <c r="AG12" s="348" t="s">
        <v>721</v>
      </c>
    </row>
    <row r="13" spans="1:33" ht="15.75">
      <c r="A13" s="347">
        <v>3</v>
      </c>
      <c r="B13" s="348" t="s">
        <v>722</v>
      </c>
      <c r="C13" s="349">
        <v>28</v>
      </c>
      <c r="D13" s="349">
        <v>28</v>
      </c>
      <c r="E13" s="349">
        <v>18.5</v>
      </c>
      <c r="F13" s="349">
        <v>18.5</v>
      </c>
      <c r="G13" s="350">
        <v>160</v>
      </c>
      <c r="H13" s="350">
        <v>160</v>
      </c>
      <c r="I13" s="350">
        <v>150</v>
      </c>
      <c r="J13" s="350">
        <v>150</v>
      </c>
      <c r="K13" s="351">
        <v>0</v>
      </c>
      <c r="L13" s="351">
        <v>0</v>
      </c>
      <c r="M13" s="349">
        <v>0</v>
      </c>
      <c r="N13" s="349">
        <v>0</v>
      </c>
      <c r="O13" s="351">
        <v>2300</v>
      </c>
      <c r="P13" s="351">
        <v>2300</v>
      </c>
      <c r="Q13" s="349">
        <v>0</v>
      </c>
      <c r="R13" s="349">
        <v>0</v>
      </c>
      <c r="S13" s="349">
        <v>34.5</v>
      </c>
      <c r="T13" s="349">
        <v>34.5</v>
      </c>
      <c r="U13" s="349">
        <v>0</v>
      </c>
      <c r="V13" s="349">
        <v>0</v>
      </c>
      <c r="W13" s="349">
        <v>0</v>
      </c>
      <c r="X13" s="349">
        <v>0</v>
      </c>
      <c r="Y13" s="351">
        <v>555</v>
      </c>
      <c r="Z13" s="351">
        <f>180+375</f>
        <v>555</v>
      </c>
      <c r="AA13" s="354">
        <v>35.4</v>
      </c>
      <c r="AB13" s="354">
        <v>35.4</v>
      </c>
      <c r="AC13" s="354">
        <v>11.5</v>
      </c>
      <c r="AD13" s="354">
        <v>11.5</v>
      </c>
      <c r="AE13" s="353">
        <f t="shared" si="0"/>
        <v>3292.9</v>
      </c>
      <c r="AF13" s="353">
        <f t="shared" si="1"/>
        <v>3292.9</v>
      </c>
      <c r="AG13" s="348" t="s">
        <v>722</v>
      </c>
    </row>
    <row r="14" spans="1:33" ht="15.75">
      <c r="A14" s="347">
        <v>4</v>
      </c>
      <c r="B14" s="348" t="s">
        <v>723</v>
      </c>
      <c r="C14" s="349">
        <v>1.3</v>
      </c>
      <c r="D14" s="349">
        <v>1.3</v>
      </c>
      <c r="E14" s="352">
        <v>3.05</v>
      </c>
      <c r="F14" s="352">
        <v>3.05</v>
      </c>
      <c r="G14" s="350">
        <v>0</v>
      </c>
      <c r="H14" s="350">
        <v>0</v>
      </c>
      <c r="I14" s="350">
        <v>0</v>
      </c>
      <c r="J14" s="350">
        <v>0</v>
      </c>
      <c r="K14" s="351">
        <v>295</v>
      </c>
      <c r="L14" s="351">
        <v>295</v>
      </c>
      <c r="M14" s="349">
        <v>4.43</v>
      </c>
      <c r="N14" s="349">
        <v>4.43</v>
      </c>
      <c r="O14" s="351">
        <v>0</v>
      </c>
      <c r="P14" s="351">
        <v>0</v>
      </c>
      <c r="Q14" s="349">
        <v>0</v>
      </c>
      <c r="R14" s="349">
        <v>0</v>
      </c>
      <c r="S14" s="349">
        <v>0</v>
      </c>
      <c r="T14" s="349">
        <v>0</v>
      </c>
      <c r="U14" s="349">
        <v>0</v>
      </c>
      <c r="V14" s="349">
        <v>0</v>
      </c>
      <c r="W14" s="349">
        <v>0</v>
      </c>
      <c r="X14" s="349">
        <v>0</v>
      </c>
      <c r="Y14" s="351">
        <v>0</v>
      </c>
      <c r="Z14" s="351">
        <v>0</v>
      </c>
      <c r="AA14" s="352">
        <v>8.85</v>
      </c>
      <c r="AB14" s="352">
        <v>8.85</v>
      </c>
      <c r="AC14" s="352">
        <v>2.55</v>
      </c>
      <c r="AD14" s="352">
        <v>2.55</v>
      </c>
      <c r="AE14" s="353">
        <f t="shared" si="0"/>
        <v>315.18</v>
      </c>
      <c r="AF14" s="353">
        <f t="shared" si="1"/>
        <v>315.18</v>
      </c>
      <c r="AG14" s="348" t="s">
        <v>723</v>
      </c>
    </row>
    <row r="15" spans="1:33" s="358" customFormat="1" ht="15.75">
      <c r="A15" s="347">
        <v>5</v>
      </c>
      <c r="B15" s="348" t="s">
        <v>724</v>
      </c>
      <c r="C15" s="349">
        <v>26.6</v>
      </c>
      <c r="D15" s="349">
        <v>26.6</v>
      </c>
      <c r="E15" s="349">
        <v>3.05</v>
      </c>
      <c r="F15" s="349">
        <v>3.05</v>
      </c>
      <c r="G15" s="350">
        <v>0</v>
      </c>
      <c r="H15" s="350">
        <v>0</v>
      </c>
      <c r="I15" s="350">
        <v>200</v>
      </c>
      <c r="J15" s="350">
        <v>200</v>
      </c>
      <c r="K15" s="351">
        <v>0</v>
      </c>
      <c r="L15" s="351">
        <v>0</v>
      </c>
      <c r="M15" s="349">
        <v>0</v>
      </c>
      <c r="N15" s="349">
        <v>0</v>
      </c>
      <c r="O15" s="351">
        <v>1034</v>
      </c>
      <c r="P15" s="351">
        <v>0</v>
      </c>
      <c r="Q15" s="349">
        <v>0</v>
      </c>
      <c r="R15" s="349">
        <v>0</v>
      </c>
      <c r="S15" s="349">
        <v>22</v>
      </c>
      <c r="T15" s="349">
        <v>0</v>
      </c>
      <c r="U15" s="505">
        <v>1000</v>
      </c>
      <c r="V15" s="505">
        <v>1000</v>
      </c>
      <c r="W15" s="349">
        <v>37.5</v>
      </c>
      <c r="X15" s="349">
        <v>37.5</v>
      </c>
      <c r="Y15" s="355">
        <v>1000</v>
      </c>
      <c r="Z15" s="351">
        <v>1000</v>
      </c>
      <c r="AA15" s="356">
        <v>17.7</v>
      </c>
      <c r="AB15" s="356">
        <v>17.7</v>
      </c>
      <c r="AC15" s="357">
        <v>15.7</v>
      </c>
      <c r="AD15" s="357">
        <v>15.7</v>
      </c>
      <c r="AE15" s="353">
        <f t="shared" si="0"/>
        <v>3356.55</v>
      </c>
      <c r="AF15" s="353">
        <f t="shared" si="1"/>
        <v>2300.55</v>
      </c>
      <c r="AG15" s="348" t="s">
        <v>724</v>
      </c>
    </row>
    <row r="16" spans="1:33" ht="13.5" customHeight="1">
      <c r="A16" s="347">
        <v>6</v>
      </c>
      <c r="B16" s="348" t="s">
        <v>725</v>
      </c>
      <c r="C16" s="349">
        <v>0.15</v>
      </c>
      <c r="D16" s="349">
        <v>0.15</v>
      </c>
      <c r="E16" s="349">
        <v>3.05</v>
      </c>
      <c r="F16" s="349">
        <v>3.05</v>
      </c>
      <c r="G16" s="350">
        <v>0</v>
      </c>
      <c r="H16" s="350"/>
      <c r="I16" s="350">
        <v>0</v>
      </c>
      <c r="J16" s="350">
        <v>0</v>
      </c>
      <c r="K16" s="351">
        <v>0</v>
      </c>
      <c r="L16" s="351">
        <v>0</v>
      </c>
      <c r="M16" s="349">
        <v>0</v>
      </c>
      <c r="N16" s="349">
        <v>0</v>
      </c>
      <c r="O16" s="351">
        <v>0</v>
      </c>
      <c r="P16" s="351">
        <v>0</v>
      </c>
      <c r="Q16" s="349">
        <v>0</v>
      </c>
      <c r="R16" s="349">
        <v>0</v>
      </c>
      <c r="S16" s="349">
        <v>0</v>
      </c>
      <c r="T16" s="349">
        <v>0</v>
      </c>
      <c r="U16" s="349">
        <v>0</v>
      </c>
      <c r="V16" s="349">
        <v>0</v>
      </c>
      <c r="W16" s="349">
        <v>0</v>
      </c>
      <c r="X16" s="349">
        <v>0</v>
      </c>
      <c r="Y16" s="351">
        <v>0</v>
      </c>
      <c r="Z16" s="351">
        <v>0</v>
      </c>
      <c r="AA16" s="352">
        <v>13.3</v>
      </c>
      <c r="AB16" s="352">
        <v>13.3</v>
      </c>
      <c r="AC16" s="349">
        <v>2.6</v>
      </c>
      <c r="AD16" s="349">
        <v>2.6</v>
      </c>
      <c r="AE16" s="353">
        <f t="shared" si="0"/>
        <v>19.1</v>
      </c>
      <c r="AF16" s="353">
        <f t="shared" si="1"/>
        <v>19.1</v>
      </c>
      <c r="AG16" s="348" t="s">
        <v>725</v>
      </c>
    </row>
    <row r="17" spans="1:33" ht="15.75">
      <c r="A17" s="347">
        <v>7</v>
      </c>
      <c r="B17" s="348" t="s">
        <v>726</v>
      </c>
      <c r="C17" s="352">
        <v>5.5</v>
      </c>
      <c r="D17" s="352">
        <v>5.5</v>
      </c>
      <c r="E17" s="352">
        <v>6.15</v>
      </c>
      <c r="F17" s="352">
        <v>6.15</v>
      </c>
      <c r="G17" s="350">
        <v>200</v>
      </c>
      <c r="H17" s="350">
        <v>200</v>
      </c>
      <c r="I17" s="350">
        <v>561</v>
      </c>
      <c r="J17" s="350">
        <v>561</v>
      </c>
      <c r="K17" s="351">
        <v>0</v>
      </c>
      <c r="L17" s="351">
        <v>0</v>
      </c>
      <c r="M17" s="349">
        <v>0</v>
      </c>
      <c r="N17" s="349">
        <v>0</v>
      </c>
      <c r="O17" s="351">
        <v>0</v>
      </c>
      <c r="P17" s="351">
        <v>0</v>
      </c>
      <c r="Q17" s="349">
        <v>0</v>
      </c>
      <c r="R17" s="349">
        <v>0</v>
      </c>
      <c r="S17" s="349">
        <v>0</v>
      </c>
      <c r="T17" s="349">
        <v>0</v>
      </c>
      <c r="U17" s="349">
        <v>0</v>
      </c>
      <c r="V17" s="349">
        <v>0</v>
      </c>
      <c r="W17" s="349">
        <v>0</v>
      </c>
      <c r="X17" s="349">
        <v>0</v>
      </c>
      <c r="Y17" s="351">
        <v>103</v>
      </c>
      <c r="Z17" s="360">
        <v>102.73</v>
      </c>
      <c r="AA17" s="352">
        <v>17.7</v>
      </c>
      <c r="AB17" s="352">
        <v>17.7</v>
      </c>
      <c r="AC17" s="349">
        <v>14.3</v>
      </c>
      <c r="AD17" s="349">
        <v>14.3</v>
      </c>
      <c r="AE17" s="359">
        <f t="shared" si="0"/>
        <v>907.65</v>
      </c>
      <c r="AF17" s="359">
        <f t="shared" si="1"/>
        <v>907.38</v>
      </c>
      <c r="AG17" s="348" t="s">
        <v>726</v>
      </c>
    </row>
    <row r="18" spans="1:33" ht="13.5" customHeight="1">
      <c r="A18" s="347">
        <v>8</v>
      </c>
      <c r="B18" s="348" t="s">
        <v>377</v>
      </c>
      <c r="C18" s="349">
        <v>24</v>
      </c>
      <c r="D18" s="349">
        <v>24</v>
      </c>
      <c r="E18" s="349">
        <v>11.3</v>
      </c>
      <c r="F18" s="349">
        <v>11.3</v>
      </c>
      <c r="G18" s="350">
        <v>0</v>
      </c>
      <c r="H18" s="350">
        <v>0</v>
      </c>
      <c r="I18" s="350">
        <v>0</v>
      </c>
      <c r="J18" s="350">
        <v>0</v>
      </c>
      <c r="K18" s="351">
        <v>0</v>
      </c>
      <c r="L18" s="351">
        <v>0</v>
      </c>
      <c r="M18" s="349">
        <v>0</v>
      </c>
      <c r="N18" s="349">
        <v>0</v>
      </c>
      <c r="O18" s="351">
        <v>0</v>
      </c>
      <c r="P18" s="351">
        <v>0</v>
      </c>
      <c r="Q18" s="349">
        <v>0</v>
      </c>
      <c r="R18" s="349">
        <v>0</v>
      </c>
      <c r="S18" s="349">
        <v>0</v>
      </c>
      <c r="T18" s="349">
        <v>0</v>
      </c>
      <c r="U18" s="349">
        <v>0</v>
      </c>
      <c r="V18" s="349">
        <v>0</v>
      </c>
      <c r="W18" s="349">
        <v>0</v>
      </c>
      <c r="X18" s="349">
        <v>0</v>
      </c>
      <c r="Y18" s="351">
        <v>5840</v>
      </c>
      <c r="Z18" s="351">
        <v>2100</v>
      </c>
      <c r="AA18" s="352">
        <v>26.55</v>
      </c>
      <c r="AB18" s="352">
        <v>26.55</v>
      </c>
      <c r="AC18" s="349">
        <v>28</v>
      </c>
      <c r="AD18" s="349">
        <v>28</v>
      </c>
      <c r="AE18" s="359">
        <f t="shared" si="0"/>
        <v>5929.85</v>
      </c>
      <c r="AF18" s="359">
        <f t="shared" si="1"/>
        <v>2189.85</v>
      </c>
      <c r="AG18" s="348" t="s">
        <v>377</v>
      </c>
    </row>
    <row r="19" spans="1:33" ht="15.75">
      <c r="A19" s="347">
        <v>9</v>
      </c>
      <c r="B19" s="348" t="s">
        <v>727</v>
      </c>
      <c r="C19" s="349">
        <v>7.6</v>
      </c>
      <c r="D19" s="349">
        <v>7.6</v>
      </c>
      <c r="E19" s="349">
        <v>3.05</v>
      </c>
      <c r="F19" s="349">
        <v>3.05</v>
      </c>
      <c r="G19" s="350"/>
      <c r="H19" s="350">
        <v>0</v>
      </c>
      <c r="I19" s="350">
        <v>0</v>
      </c>
      <c r="J19" s="350">
        <v>0</v>
      </c>
      <c r="K19" s="351">
        <v>0</v>
      </c>
      <c r="L19" s="351">
        <v>0</v>
      </c>
      <c r="M19" s="349">
        <v>0</v>
      </c>
      <c r="N19" s="349">
        <v>0</v>
      </c>
      <c r="O19" s="351">
        <v>0</v>
      </c>
      <c r="P19" s="351">
        <v>0</v>
      </c>
      <c r="Q19" s="349">
        <v>0</v>
      </c>
      <c r="R19" s="349">
        <v>0</v>
      </c>
      <c r="S19" s="349">
        <v>0</v>
      </c>
      <c r="T19" s="349">
        <v>0</v>
      </c>
      <c r="U19" s="349">
        <v>0</v>
      </c>
      <c r="V19" s="349">
        <v>0</v>
      </c>
      <c r="W19" s="349">
        <v>0</v>
      </c>
      <c r="X19" s="349">
        <v>0</v>
      </c>
      <c r="Y19" s="351">
        <v>0</v>
      </c>
      <c r="Z19" s="351">
        <v>0</v>
      </c>
      <c r="AA19" s="352">
        <v>13.3</v>
      </c>
      <c r="AB19" s="352">
        <v>13.3</v>
      </c>
      <c r="AC19" s="349">
        <v>6</v>
      </c>
      <c r="AD19" s="349">
        <v>6</v>
      </c>
      <c r="AE19" s="359">
        <f t="shared" si="0"/>
        <v>29.95</v>
      </c>
      <c r="AF19" s="359">
        <f t="shared" si="1"/>
        <v>29.95</v>
      </c>
      <c r="AG19" s="348" t="s">
        <v>727</v>
      </c>
    </row>
    <row r="20" spans="1:33" ht="13.5" customHeight="1">
      <c r="A20" s="347">
        <v>10</v>
      </c>
      <c r="B20" s="348" t="s">
        <v>728</v>
      </c>
      <c r="C20" s="349">
        <v>17.2</v>
      </c>
      <c r="D20" s="349">
        <v>17.2</v>
      </c>
      <c r="E20" s="349">
        <v>3.05</v>
      </c>
      <c r="F20" s="349">
        <v>3.05</v>
      </c>
      <c r="G20" s="350">
        <v>0</v>
      </c>
      <c r="H20" s="350">
        <v>0</v>
      </c>
      <c r="I20" s="350">
        <v>0</v>
      </c>
      <c r="J20" s="350">
        <v>0</v>
      </c>
      <c r="K20" s="351">
        <v>0</v>
      </c>
      <c r="L20" s="351">
        <v>0</v>
      </c>
      <c r="M20" s="349">
        <v>0</v>
      </c>
      <c r="N20" s="349">
        <v>0</v>
      </c>
      <c r="O20" s="351">
        <v>0</v>
      </c>
      <c r="P20" s="351">
        <v>0</v>
      </c>
      <c r="Q20" s="349">
        <v>0</v>
      </c>
      <c r="R20" s="349">
        <v>0</v>
      </c>
      <c r="S20" s="349">
        <v>0</v>
      </c>
      <c r="T20" s="349">
        <v>0</v>
      </c>
      <c r="U20" s="361">
        <v>2828.5</v>
      </c>
      <c r="V20" s="352">
        <v>2828.5</v>
      </c>
      <c r="W20" s="352">
        <v>42.4</v>
      </c>
      <c r="X20" s="352">
        <v>42.4</v>
      </c>
      <c r="Y20" s="355">
        <v>3350</v>
      </c>
      <c r="Z20" s="351">
        <v>3350</v>
      </c>
      <c r="AA20" s="352">
        <v>13.3</v>
      </c>
      <c r="AB20" s="352">
        <v>13.3</v>
      </c>
      <c r="AC20" s="349">
        <v>5</v>
      </c>
      <c r="AD20" s="349">
        <v>5</v>
      </c>
      <c r="AE20" s="359">
        <f t="shared" si="0"/>
        <v>6259.45</v>
      </c>
      <c r="AF20" s="359">
        <f t="shared" si="1"/>
        <v>6259.45</v>
      </c>
      <c r="AG20" s="348" t="s">
        <v>728</v>
      </c>
    </row>
    <row r="21" spans="1:33" ht="13.5" customHeight="1">
      <c r="A21" s="347">
        <v>11</v>
      </c>
      <c r="B21" s="348" t="s">
        <v>1000</v>
      </c>
      <c r="C21" s="349">
        <v>6.8</v>
      </c>
      <c r="D21" s="349">
        <v>6.8</v>
      </c>
      <c r="E21" s="349">
        <v>3.05</v>
      </c>
      <c r="F21" s="349">
        <v>3.05</v>
      </c>
      <c r="G21" s="350">
        <v>0</v>
      </c>
      <c r="H21" s="350">
        <v>0</v>
      </c>
      <c r="I21" s="350">
        <v>0</v>
      </c>
      <c r="J21" s="350">
        <v>0</v>
      </c>
      <c r="K21" s="351">
        <v>0</v>
      </c>
      <c r="L21" s="351">
        <v>0</v>
      </c>
      <c r="M21" s="349">
        <v>0</v>
      </c>
      <c r="N21" s="349">
        <v>0</v>
      </c>
      <c r="O21" s="351">
        <v>0</v>
      </c>
      <c r="P21" s="351">
        <v>0</v>
      </c>
      <c r="Q21" s="349">
        <v>0</v>
      </c>
      <c r="R21" s="349">
        <v>0</v>
      </c>
      <c r="S21" s="349">
        <v>0</v>
      </c>
      <c r="T21" s="349">
        <v>0</v>
      </c>
      <c r="U21" s="349">
        <v>0</v>
      </c>
      <c r="V21" s="349">
        <v>0</v>
      </c>
      <c r="W21" s="349">
        <v>0</v>
      </c>
      <c r="X21" s="349">
        <v>0</v>
      </c>
      <c r="Y21" s="351">
        <v>0</v>
      </c>
      <c r="Z21" s="351">
        <v>0</v>
      </c>
      <c r="AA21" s="352">
        <v>13.3</v>
      </c>
      <c r="AB21" s="352">
        <v>13.3</v>
      </c>
      <c r="AC21" s="349">
        <v>5.7</v>
      </c>
      <c r="AD21" s="349">
        <v>5.7</v>
      </c>
      <c r="AE21" s="359">
        <f t="shared" si="0"/>
        <v>28.85</v>
      </c>
      <c r="AF21" s="359">
        <f t="shared" si="1"/>
        <v>28.85</v>
      </c>
      <c r="AG21" s="348" t="s">
        <v>1000</v>
      </c>
    </row>
    <row r="22" spans="1:33" ht="12.75" customHeight="1">
      <c r="A22" s="347">
        <v>12</v>
      </c>
      <c r="B22" s="348" t="s">
        <v>729</v>
      </c>
      <c r="C22" s="349">
        <v>0.85</v>
      </c>
      <c r="D22" s="349">
        <v>0.85</v>
      </c>
      <c r="E22" s="349">
        <v>4.1</v>
      </c>
      <c r="F22" s="349">
        <v>4.1</v>
      </c>
      <c r="G22" s="350">
        <v>0</v>
      </c>
      <c r="H22" s="350">
        <v>0</v>
      </c>
      <c r="I22" s="350">
        <v>0</v>
      </c>
      <c r="J22" s="350">
        <v>0</v>
      </c>
      <c r="K22" s="351">
        <v>0</v>
      </c>
      <c r="L22" s="351">
        <v>0</v>
      </c>
      <c r="M22" s="349">
        <v>0</v>
      </c>
      <c r="N22" s="349">
        <v>0</v>
      </c>
      <c r="O22" s="351">
        <v>0</v>
      </c>
      <c r="P22" s="351">
        <v>0</v>
      </c>
      <c r="Q22" s="349">
        <v>0</v>
      </c>
      <c r="R22" s="349">
        <v>0</v>
      </c>
      <c r="S22" s="349">
        <v>0</v>
      </c>
      <c r="T22" s="349">
        <v>0</v>
      </c>
      <c r="U22" s="349">
        <v>0</v>
      </c>
      <c r="V22" s="349">
        <v>0</v>
      </c>
      <c r="W22" s="349">
        <v>0</v>
      </c>
      <c r="X22" s="349">
        <v>0</v>
      </c>
      <c r="Y22" s="351">
        <v>0</v>
      </c>
      <c r="Z22" s="351">
        <v>0</v>
      </c>
      <c r="AA22" s="352">
        <v>13.3</v>
      </c>
      <c r="AB22" s="352">
        <v>13.3</v>
      </c>
      <c r="AC22" s="349">
        <v>4.8</v>
      </c>
      <c r="AD22" s="349">
        <v>4.8</v>
      </c>
      <c r="AE22" s="359">
        <f t="shared" si="0"/>
        <v>23.05</v>
      </c>
      <c r="AF22" s="359">
        <f t="shared" si="1"/>
        <v>23.05</v>
      </c>
      <c r="AG22" s="348" t="s">
        <v>729</v>
      </c>
    </row>
    <row r="23" spans="1:33" ht="13.5" customHeight="1">
      <c r="A23" s="347">
        <v>13</v>
      </c>
      <c r="B23" s="348" t="s">
        <v>730</v>
      </c>
      <c r="C23" s="349">
        <v>7.3</v>
      </c>
      <c r="D23" s="349">
        <v>7.3</v>
      </c>
      <c r="E23" s="349">
        <v>3.05</v>
      </c>
      <c r="F23" s="349">
        <v>3.05</v>
      </c>
      <c r="G23" s="350">
        <v>0</v>
      </c>
      <c r="H23" s="350">
        <v>0</v>
      </c>
      <c r="I23" s="350">
        <v>200</v>
      </c>
      <c r="J23" s="350">
        <v>200</v>
      </c>
      <c r="K23" s="351">
        <v>0</v>
      </c>
      <c r="L23" s="351">
        <v>0</v>
      </c>
      <c r="M23" s="349">
        <v>0</v>
      </c>
      <c r="N23" s="349">
        <v>0</v>
      </c>
      <c r="O23" s="351">
        <v>0</v>
      </c>
      <c r="P23" s="351">
        <v>0</v>
      </c>
      <c r="Q23" s="349">
        <v>0</v>
      </c>
      <c r="R23" s="349">
        <v>0</v>
      </c>
      <c r="S23" s="349">
        <v>0</v>
      </c>
      <c r="T23" s="349">
        <v>0</v>
      </c>
      <c r="U23" s="349">
        <v>0</v>
      </c>
      <c r="V23" s="349">
        <v>0</v>
      </c>
      <c r="W23" s="349">
        <v>0</v>
      </c>
      <c r="X23" s="349">
        <v>0</v>
      </c>
      <c r="Y23" s="351">
        <v>0</v>
      </c>
      <c r="Z23" s="351">
        <v>0</v>
      </c>
      <c r="AA23" s="352">
        <v>13.3</v>
      </c>
      <c r="AB23" s="352">
        <v>13.3</v>
      </c>
      <c r="AC23" s="349">
        <v>12</v>
      </c>
      <c r="AD23" s="349">
        <v>12</v>
      </c>
      <c r="AE23" s="359">
        <f t="shared" si="0"/>
        <v>235.65</v>
      </c>
      <c r="AF23" s="359">
        <f t="shared" si="1"/>
        <v>235.65</v>
      </c>
      <c r="AG23" s="348" t="s">
        <v>730</v>
      </c>
    </row>
    <row r="24" spans="1:33" ht="15.75">
      <c r="A24" s="347">
        <v>14</v>
      </c>
      <c r="B24" s="348" t="s">
        <v>731</v>
      </c>
      <c r="C24" s="349">
        <v>9.4</v>
      </c>
      <c r="D24" s="349">
        <v>9.4</v>
      </c>
      <c r="E24" s="349">
        <v>4.1</v>
      </c>
      <c r="F24" s="349">
        <v>4.1</v>
      </c>
      <c r="G24" s="350">
        <v>0</v>
      </c>
      <c r="H24" s="350">
        <v>0</v>
      </c>
      <c r="I24" s="350">
        <v>0</v>
      </c>
      <c r="J24" s="350">
        <v>0</v>
      </c>
      <c r="K24" s="351">
        <v>0</v>
      </c>
      <c r="L24" s="351">
        <v>0</v>
      </c>
      <c r="M24" s="349">
        <v>0</v>
      </c>
      <c r="N24" s="349">
        <v>0</v>
      </c>
      <c r="O24" s="351">
        <v>0</v>
      </c>
      <c r="P24" s="351">
        <v>0</v>
      </c>
      <c r="Q24" s="349">
        <v>0</v>
      </c>
      <c r="R24" s="349">
        <v>0</v>
      </c>
      <c r="S24" s="349">
        <v>0</v>
      </c>
      <c r="T24" s="349">
        <v>0</v>
      </c>
      <c r="U24" s="349">
        <v>0</v>
      </c>
      <c r="V24" s="349">
        <v>0</v>
      </c>
      <c r="W24" s="349">
        <v>0</v>
      </c>
      <c r="X24" s="349">
        <v>0</v>
      </c>
      <c r="Y24" s="351">
        <v>0</v>
      </c>
      <c r="Z24" s="351">
        <v>0</v>
      </c>
      <c r="AA24" s="352">
        <v>13.3</v>
      </c>
      <c r="AB24" s="352">
        <v>13.3</v>
      </c>
      <c r="AC24" s="349">
        <v>13.2</v>
      </c>
      <c r="AD24" s="349">
        <v>13.2</v>
      </c>
      <c r="AE24" s="359">
        <f t="shared" si="0"/>
        <v>40</v>
      </c>
      <c r="AF24" s="359">
        <f t="shared" si="1"/>
        <v>40</v>
      </c>
      <c r="AG24" s="348" t="s">
        <v>731</v>
      </c>
    </row>
    <row r="25" spans="1:33" ht="15.75">
      <c r="A25" s="347">
        <v>15</v>
      </c>
      <c r="B25" s="348" t="s">
        <v>378</v>
      </c>
      <c r="C25" s="349">
        <v>1.9</v>
      </c>
      <c r="D25" s="349">
        <v>1.9</v>
      </c>
      <c r="E25" s="349">
        <v>2.05</v>
      </c>
      <c r="F25" s="349">
        <v>2.05</v>
      </c>
      <c r="G25" s="350">
        <v>0</v>
      </c>
      <c r="H25" s="350">
        <v>0</v>
      </c>
      <c r="I25" s="350">
        <v>0</v>
      </c>
      <c r="J25" s="350">
        <v>0</v>
      </c>
      <c r="K25" s="351">
        <v>200</v>
      </c>
      <c r="L25" s="351">
        <v>200</v>
      </c>
      <c r="M25" s="349">
        <v>6</v>
      </c>
      <c r="N25" s="349">
        <v>6</v>
      </c>
      <c r="O25" s="351">
        <v>1800</v>
      </c>
      <c r="P25" s="351">
        <v>1800</v>
      </c>
      <c r="Q25" s="349">
        <v>0</v>
      </c>
      <c r="R25" s="349">
        <v>0</v>
      </c>
      <c r="S25" s="349">
        <v>13.5</v>
      </c>
      <c r="T25" s="349">
        <v>13.5</v>
      </c>
      <c r="U25" s="349">
        <v>0</v>
      </c>
      <c r="V25" s="349">
        <v>0</v>
      </c>
      <c r="W25" s="349">
        <v>0</v>
      </c>
      <c r="X25" s="349">
        <v>0</v>
      </c>
      <c r="Y25" s="351">
        <v>640</v>
      </c>
      <c r="Z25" s="351">
        <v>640</v>
      </c>
      <c r="AA25" s="349">
        <v>17.7</v>
      </c>
      <c r="AB25" s="349">
        <v>17.7</v>
      </c>
      <c r="AC25" s="349">
        <v>7.3</v>
      </c>
      <c r="AD25" s="349">
        <v>7.3</v>
      </c>
      <c r="AE25" s="359">
        <f t="shared" si="0"/>
        <v>2688.45</v>
      </c>
      <c r="AF25" s="359">
        <f t="shared" si="1"/>
        <v>2688.45</v>
      </c>
      <c r="AG25" s="348" t="s">
        <v>378</v>
      </c>
    </row>
    <row r="26" spans="1:33" ht="13.5" customHeight="1">
      <c r="A26" s="347">
        <v>16</v>
      </c>
      <c r="B26" s="348" t="s">
        <v>732</v>
      </c>
      <c r="C26" s="349">
        <v>0</v>
      </c>
      <c r="D26" s="349">
        <v>0</v>
      </c>
      <c r="E26" s="349">
        <v>0</v>
      </c>
      <c r="F26" s="349">
        <v>0</v>
      </c>
      <c r="G26" s="350">
        <v>0</v>
      </c>
      <c r="H26" s="350">
        <v>0</v>
      </c>
      <c r="I26" s="350">
        <v>300</v>
      </c>
      <c r="J26" s="350">
        <v>300</v>
      </c>
      <c r="K26" s="351">
        <v>0</v>
      </c>
      <c r="L26" s="351">
        <v>0</v>
      </c>
      <c r="M26" s="349">
        <v>11.4</v>
      </c>
      <c r="N26" s="349">
        <v>11.4</v>
      </c>
      <c r="O26" s="351">
        <v>0</v>
      </c>
      <c r="P26" s="351">
        <v>0</v>
      </c>
      <c r="Q26" s="349">
        <v>0</v>
      </c>
      <c r="R26" s="349">
        <v>0</v>
      </c>
      <c r="S26" s="349">
        <v>0</v>
      </c>
      <c r="T26" s="349">
        <v>0</v>
      </c>
      <c r="U26" s="349">
        <v>0</v>
      </c>
      <c r="V26" s="349">
        <v>0</v>
      </c>
      <c r="W26" s="349">
        <v>0</v>
      </c>
      <c r="X26" s="349">
        <v>0</v>
      </c>
      <c r="Y26" s="351">
        <v>0</v>
      </c>
      <c r="Z26" s="351">
        <v>0</v>
      </c>
      <c r="AA26" s="349">
        <v>35.4</v>
      </c>
      <c r="AB26" s="349">
        <v>35.4</v>
      </c>
      <c r="AC26" s="349">
        <v>7.5</v>
      </c>
      <c r="AD26" s="349">
        <v>7.5</v>
      </c>
      <c r="AE26" s="359">
        <f t="shared" si="0"/>
        <v>354.3</v>
      </c>
      <c r="AF26" s="359">
        <f t="shared" si="1"/>
        <v>354.3</v>
      </c>
      <c r="AG26" s="348" t="s">
        <v>732</v>
      </c>
    </row>
    <row r="27" spans="1:33" ht="12.75" customHeight="1">
      <c r="A27" s="347">
        <v>17</v>
      </c>
      <c r="B27" s="348" t="s">
        <v>733</v>
      </c>
      <c r="C27" s="352">
        <v>0.85</v>
      </c>
      <c r="D27" s="352">
        <v>0.85</v>
      </c>
      <c r="E27" s="357">
        <v>3</v>
      </c>
      <c r="F27" s="357">
        <v>3</v>
      </c>
      <c r="G27" s="350">
        <v>0</v>
      </c>
      <c r="H27" s="350">
        <v>0</v>
      </c>
      <c r="I27" s="350">
        <v>0</v>
      </c>
      <c r="J27" s="350">
        <v>0</v>
      </c>
      <c r="K27" s="351">
        <v>0</v>
      </c>
      <c r="L27" s="351">
        <v>0</v>
      </c>
      <c r="M27" s="349">
        <v>0</v>
      </c>
      <c r="N27" s="349">
        <v>0</v>
      </c>
      <c r="O27" s="351">
        <v>0</v>
      </c>
      <c r="P27" s="351">
        <v>0</v>
      </c>
      <c r="Q27" s="349">
        <v>0</v>
      </c>
      <c r="R27" s="349">
        <v>0</v>
      </c>
      <c r="S27" s="349">
        <v>0</v>
      </c>
      <c r="T27" s="349">
        <v>0</v>
      </c>
      <c r="U27" s="349">
        <v>0</v>
      </c>
      <c r="V27" s="349">
        <v>0</v>
      </c>
      <c r="W27" s="349">
        <v>0</v>
      </c>
      <c r="X27" s="349">
        <v>0</v>
      </c>
      <c r="Y27" s="351">
        <v>0</v>
      </c>
      <c r="Z27" s="351">
        <v>0</v>
      </c>
      <c r="AA27" s="362">
        <v>22.15</v>
      </c>
      <c r="AB27" s="362">
        <v>22.15</v>
      </c>
      <c r="AC27" s="349">
        <v>2.4</v>
      </c>
      <c r="AD27" s="349">
        <v>2.4</v>
      </c>
      <c r="AE27" s="359">
        <f t="shared" si="0"/>
        <v>28.4</v>
      </c>
      <c r="AF27" s="359">
        <f t="shared" si="1"/>
        <v>28.4</v>
      </c>
      <c r="AG27" s="348" t="s">
        <v>733</v>
      </c>
    </row>
    <row r="28" spans="1:33" ht="14.25" customHeight="1">
      <c r="A28" s="347">
        <v>18</v>
      </c>
      <c r="B28" s="348" t="s">
        <v>734</v>
      </c>
      <c r="C28" s="349">
        <v>25.2</v>
      </c>
      <c r="D28" s="349">
        <v>25.2</v>
      </c>
      <c r="E28" s="349">
        <v>5.1</v>
      </c>
      <c r="F28" s="349">
        <v>5.1</v>
      </c>
      <c r="G28" s="350">
        <v>180</v>
      </c>
      <c r="H28" s="350">
        <v>180</v>
      </c>
      <c r="I28" s="350">
        <v>110</v>
      </c>
      <c r="J28" s="350">
        <v>110</v>
      </c>
      <c r="K28" s="351">
        <v>0</v>
      </c>
      <c r="L28" s="351">
        <v>0</v>
      </c>
      <c r="M28" s="349">
        <v>0</v>
      </c>
      <c r="N28" s="349">
        <v>0</v>
      </c>
      <c r="O28" s="351">
        <v>0</v>
      </c>
      <c r="P28" s="351">
        <v>0</v>
      </c>
      <c r="Q28" s="349">
        <v>0</v>
      </c>
      <c r="R28" s="349">
        <v>0</v>
      </c>
      <c r="S28" s="349">
        <v>0</v>
      </c>
      <c r="T28" s="349">
        <v>0</v>
      </c>
      <c r="U28" s="349">
        <v>0</v>
      </c>
      <c r="V28" s="349">
        <v>0</v>
      </c>
      <c r="W28" s="349">
        <v>0</v>
      </c>
      <c r="X28" s="349">
        <v>0</v>
      </c>
      <c r="Y28" s="351">
        <v>1400</v>
      </c>
      <c r="Z28" s="351">
        <v>1400</v>
      </c>
      <c r="AA28" s="349">
        <v>8.85</v>
      </c>
      <c r="AB28" s="349">
        <v>8.85</v>
      </c>
      <c r="AC28" s="349">
        <v>8</v>
      </c>
      <c r="AD28" s="349">
        <v>8</v>
      </c>
      <c r="AE28" s="359">
        <f t="shared" si="0"/>
        <v>1737.15</v>
      </c>
      <c r="AF28" s="359">
        <f t="shared" si="1"/>
        <v>1737.15</v>
      </c>
      <c r="AG28" s="348" t="s">
        <v>734</v>
      </c>
    </row>
    <row r="29" spans="1:33" ht="13.5" customHeight="1">
      <c r="A29" s="347">
        <v>19</v>
      </c>
      <c r="B29" s="348" t="s">
        <v>735</v>
      </c>
      <c r="C29" s="349">
        <v>0</v>
      </c>
      <c r="D29" s="349">
        <v>0</v>
      </c>
      <c r="E29" s="349">
        <v>4.1</v>
      </c>
      <c r="F29" s="349">
        <v>4.1</v>
      </c>
      <c r="G29" s="350">
        <v>0</v>
      </c>
      <c r="H29" s="350">
        <v>0</v>
      </c>
      <c r="I29" s="350">
        <v>0</v>
      </c>
      <c r="J29" s="350">
        <v>0</v>
      </c>
      <c r="K29" s="351">
        <v>400</v>
      </c>
      <c r="L29" s="351">
        <v>400</v>
      </c>
      <c r="M29" s="349">
        <v>90</v>
      </c>
      <c r="N29" s="349">
        <v>90</v>
      </c>
      <c r="O29" s="351">
        <v>0</v>
      </c>
      <c r="P29" s="351">
        <v>0</v>
      </c>
      <c r="Q29" s="349">
        <v>0</v>
      </c>
      <c r="R29" s="349">
        <v>0</v>
      </c>
      <c r="S29" s="349">
        <v>0</v>
      </c>
      <c r="T29" s="349">
        <v>0</v>
      </c>
      <c r="U29" s="352">
        <v>580</v>
      </c>
      <c r="V29" s="352">
        <v>580</v>
      </c>
      <c r="W29" s="352">
        <v>28.5</v>
      </c>
      <c r="X29" s="352">
        <v>28.5</v>
      </c>
      <c r="Y29" s="351">
        <v>1010</v>
      </c>
      <c r="Z29" s="351">
        <v>1010</v>
      </c>
      <c r="AA29" s="349">
        <v>17.7</v>
      </c>
      <c r="AB29" s="349">
        <v>17.7</v>
      </c>
      <c r="AC29" s="349"/>
      <c r="AD29" s="349"/>
      <c r="AE29" s="359">
        <f t="shared" si="0"/>
        <v>2130.3</v>
      </c>
      <c r="AF29" s="359">
        <f t="shared" si="1"/>
        <v>2130.3</v>
      </c>
      <c r="AG29" s="348" t="s">
        <v>735</v>
      </c>
    </row>
    <row r="30" spans="1:33" ht="13.5" customHeight="1">
      <c r="A30" s="347">
        <v>20</v>
      </c>
      <c r="B30" s="348" t="s">
        <v>379</v>
      </c>
      <c r="C30" s="349">
        <v>0</v>
      </c>
      <c r="D30" s="349">
        <v>0</v>
      </c>
      <c r="E30" s="349">
        <v>0</v>
      </c>
      <c r="F30" s="349">
        <v>0</v>
      </c>
      <c r="G30" s="350">
        <v>0</v>
      </c>
      <c r="H30" s="350">
        <v>0</v>
      </c>
      <c r="I30" s="350">
        <v>0</v>
      </c>
      <c r="J30" s="350">
        <v>0</v>
      </c>
      <c r="K30" s="351">
        <v>0</v>
      </c>
      <c r="L30" s="351">
        <v>0</v>
      </c>
      <c r="M30" s="349">
        <v>17.5</v>
      </c>
      <c r="N30" s="349">
        <v>17.5</v>
      </c>
      <c r="O30" s="351">
        <v>0</v>
      </c>
      <c r="P30" s="351">
        <v>0</v>
      </c>
      <c r="Q30" s="349">
        <v>0</v>
      </c>
      <c r="R30" s="349">
        <v>0</v>
      </c>
      <c r="S30" s="349">
        <v>0</v>
      </c>
      <c r="T30" s="349">
        <v>0</v>
      </c>
      <c r="U30" s="349">
        <v>0</v>
      </c>
      <c r="V30" s="349">
        <v>0</v>
      </c>
      <c r="W30" s="349">
        <v>0</v>
      </c>
      <c r="X30" s="349">
        <v>0</v>
      </c>
      <c r="Y30" s="351">
        <v>0</v>
      </c>
      <c r="Z30" s="351">
        <v>0</v>
      </c>
      <c r="AA30" s="349">
        <v>35.4</v>
      </c>
      <c r="AB30" s="349">
        <v>35.4</v>
      </c>
      <c r="AC30" s="360">
        <v>30.1</v>
      </c>
      <c r="AD30" s="360">
        <v>30.1</v>
      </c>
      <c r="AE30" s="359">
        <f t="shared" si="0"/>
        <v>83</v>
      </c>
      <c r="AF30" s="359">
        <f t="shared" si="1"/>
        <v>83</v>
      </c>
      <c r="AG30" s="348" t="s">
        <v>379</v>
      </c>
    </row>
    <row r="31" spans="1:33" ht="12.75" customHeight="1">
      <c r="A31" s="347">
        <v>21</v>
      </c>
      <c r="B31" s="348" t="s">
        <v>736</v>
      </c>
      <c r="C31" s="349">
        <v>2.3</v>
      </c>
      <c r="D31" s="349">
        <v>2.3</v>
      </c>
      <c r="E31" s="349">
        <v>6.2</v>
      </c>
      <c r="F31" s="349">
        <v>6.2</v>
      </c>
      <c r="G31" s="350">
        <v>0</v>
      </c>
      <c r="H31" s="350">
        <v>0</v>
      </c>
      <c r="I31" s="350">
        <v>0</v>
      </c>
      <c r="J31" s="350">
        <v>0</v>
      </c>
      <c r="K31" s="351">
        <v>500</v>
      </c>
      <c r="L31" s="351">
        <v>500</v>
      </c>
      <c r="M31" s="349">
        <v>17.7</v>
      </c>
      <c r="N31" s="349">
        <v>17.7</v>
      </c>
      <c r="O31" s="351">
        <v>0</v>
      </c>
      <c r="P31" s="351">
        <v>0</v>
      </c>
      <c r="Q31" s="351">
        <v>300</v>
      </c>
      <c r="R31" s="351">
        <v>300</v>
      </c>
      <c r="S31" s="349">
        <v>15</v>
      </c>
      <c r="T31" s="503">
        <v>15</v>
      </c>
      <c r="U31" s="349">
        <v>0</v>
      </c>
      <c r="V31" s="349">
        <v>0</v>
      </c>
      <c r="W31" s="349">
        <v>0</v>
      </c>
      <c r="X31" s="349">
        <v>0</v>
      </c>
      <c r="Y31" s="351">
        <v>9000</v>
      </c>
      <c r="Z31" s="351">
        <v>3000</v>
      </c>
      <c r="AA31" s="349">
        <v>17.7</v>
      </c>
      <c r="AB31" s="349">
        <v>17.7</v>
      </c>
      <c r="AC31" s="349">
        <v>0</v>
      </c>
      <c r="AD31" s="349">
        <v>0</v>
      </c>
      <c r="AE31" s="359">
        <f t="shared" si="0"/>
        <v>9858.9</v>
      </c>
      <c r="AF31" s="359">
        <f t="shared" si="1"/>
        <v>3858.9</v>
      </c>
      <c r="AG31" s="348" t="s">
        <v>736</v>
      </c>
    </row>
    <row r="32" spans="1:33" ht="15.75">
      <c r="A32" s="347">
        <v>22</v>
      </c>
      <c r="B32" s="348" t="s">
        <v>737</v>
      </c>
      <c r="C32" s="349">
        <v>1.9</v>
      </c>
      <c r="D32" s="349">
        <v>1.9</v>
      </c>
      <c r="E32" s="349">
        <v>6.15</v>
      </c>
      <c r="F32" s="349">
        <v>6.15</v>
      </c>
      <c r="G32" s="350">
        <v>0</v>
      </c>
      <c r="H32" s="350">
        <v>0</v>
      </c>
      <c r="I32" s="350">
        <v>0</v>
      </c>
      <c r="J32" s="350">
        <v>0</v>
      </c>
      <c r="K32" s="351">
        <v>0</v>
      </c>
      <c r="L32" s="351">
        <v>0</v>
      </c>
      <c r="M32" s="349">
        <v>0</v>
      </c>
      <c r="N32" s="349">
        <v>0</v>
      </c>
      <c r="O32" s="351">
        <v>0</v>
      </c>
      <c r="P32" s="351">
        <v>0</v>
      </c>
      <c r="Q32" s="351">
        <v>0</v>
      </c>
      <c r="R32" s="351">
        <v>0</v>
      </c>
      <c r="S32" s="349">
        <v>0</v>
      </c>
      <c r="T32" s="349">
        <v>0</v>
      </c>
      <c r="U32" s="349">
        <v>0</v>
      </c>
      <c r="V32" s="349">
        <v>0</v>
      </c>
      <c r="W32" s="349">
        <v>0</v>
      </c>
      <c r="X32" s="349">
        <v>0</v>
      </c>
      <c r="Y32" s="351">
        <v>2150</v>
      </c>
      <c r="Z32" s="351">
        <v>0</v>
      </c>
      <c r="AA32" s="349">
        <v>13.3</v>
      </c>
      <c r="AB32" s="349">
        <v>13.3</v>
      </c>
      <c r="AC32" s="349">
        <v>3.6</v>
      </c>
      <c r="AD32" s="349">
        <v>3.6</v>
      </c>
      <c r="AE32" s="359">
        <f t="shared" si="0"/>
        <v>2174.95</v>
      </c>
      <c r="AF32" s="359">
        <f t="shared" si="1"/>
        <v>24.95</v>
      </c>
      <c r="AG32" s="348" t="s">
        <v>737</v>
      </c>
    </row>
    <row r="33" spans="1:33" ht="15.75">
      <c r="A33" s="347">
        <v>23</v>
      </c>
      <c r="B33" s="348" t="s">
        <v>738</v>
      </c>
      <c r="C33" s="349">
        <v>1.9</v>
      </c>
      <c r="D33" s="349">
        <v>1.9</v>
      </c>
      <c r="E33" s="349">
        <v>3.05</v>
      </c>
      <c r="F33" s="349">
        <v>3.05</v>
      </c>
      <c r="G33" s="350">
        <v>0</v>
      </c>
      <c r="H33" s="350">
        <v>0</v>
      </c>
      <c r="I33" s="350">
        <v>0</v>
      </c>
      <c r="J33" s="350">
        <v>0</v>
      </c>
      <c r="K33" s="351">
        <v>0</v>
      </c>
      <c r="L33" s="351">
        <v>0</v>
      </c>
      <c r="M33" s="349">
        <v>0</v>
      </c>
      <c r="N33" s="349">
        <v>0</v>
      </c>
      <c r="O33" s="351">
        <v>1150</v>
      </c>
      <c r="P33" s="351">
        <v>1150</v>
      </c>
      <c r="Q33" s="351">
        <v>0</v>
      </c>
      <c r="R33" s="351">
        <v>0</v>
      </c>
      <c r="S33" s="349">
        <v>34.5</v>
      </c>
      <c r="T33" s="349">
        <v>34.5</v>
      </c>
      <c r="U33" s="349">
        <v>0</v>
      </c>
      <c r="V33" s="349">
        <v>0</v>
      </c>
      <c r="W33" s="349">
        <v>0</v>
      </c>
      <c r="X33" s="349">
        <v>0</v>
      </c>
      <c r="Y33" s="351">
        <v>0</v>
      </c>
      <c r="Z33" s="351">
        <v>0</v>
      </c>
      <c r="AA33" s="349">
        <v>13.3</v>
      </c>
      <c r="AB33" s="349">
        <v>13.3</v>
      </c>
      <c r="AC33" s="349">
        <v>4.5</v>
      </c>
      <c r="AD33" s="349">
        <v>4.5</v>
      </c>
      <c r="AE33" s="359">
        <f t="shared" si="0"/>
        <v>1207.25</v>
      </c>
      <c r="AF33" s="359">
        <f t="shared" si="1"/>
        <v>1207.25</v>
      </c>
      <c r="AG33" s="348" t="s">
        <v>738</v>
      </c>
    </row>
    <row r="34" spans="1:33" ht="13.5" customHeight="1">
      <c r="A34" s="347">
        <v>24</v>
      </c>
      <c r="B34" s="348" t="s">
        <v>1012</v>
      </c>
      <c r="C34" s="349">
        <v>2.45</v>
      </c>
      <c r="D34" s="349">
        <v>2.45</v>
      </c>
      <c r="E34" s="349">
        <v>4.1</v>
      </c>
      <c r="F34" s="349">
        <v>4.1</v>
      </c>
      <c r="G34" s="350">
        <v>0</v>
      </c>
      <c r="H34" s="350">
        <v>0</v>
      </c>
      <c r="I34" s="350">
        <v>0</v>
      </c>
      <c r="J34" s="350">
        <v>0</v>
      </c>
      <c r="K34" s="351">
        <v>0</v>
      </c>
      <c r="L34" s="351">
        <v>0</v>
      </c>
      <c r="M34" s="349">
        <v>0</v>
      </c>
      <c r="N34" s="349">
        <v>0</v>
      </c>
      <c r="O34" s="351">
        <v>0</v>
      </c>
      <c r="P34" s="351">
        <v>0</v>
      </c>
      <c r="Q34" s="351">
        <v>0</v>
      </c>
      <c r="R34" s="351">
        <v>0</v>
      </c>
      <c r="S34" s="349">
        <v>0</v>
      </c>
      <c r="T34" s="349">
        <v>0</v>
      </c>
      <c r="U34" s="349">
        <v>0</v>
      </c>
      <c r="V34" s="349">
        <v>0</v>
      </c>
      <c r="W34" s="349">
        <v>0</v>
      </c>
      <c r="X34" s="349">
        <v>0</v>
      </c>
      <c r="Y34" s="351">
        <v>150</v>
      </c>
      <c r="Z34" s="351">
        <v>150</v>
      </c>
      <c r="AA34" s="349">
        <v>13.3</v>
      </c>
      <c r="AB34" s="349">
        <v>13.3</v>
      </c>
      <c r="AC34" s="349">
        <v>17.5</v>
      </c>
      <c r="AD34" s="349">
        <v>17.5</v>
      </c>
      <c r="AE34" s="359">
        <f t="shared" si="0"/>
        <v>187.35</v>
      </c>
      <c r="AF34" s="359">
        <f t="shared" si="1"/>
        <v>187.35</v>
      </c>
      <c r="AG34" s="348" t="s">
        <v>1012</v>
      </c>
    </row>
    <row r="35" spans="1:33" ht="14.25" customHeight="1">
      <c r="A35" s="347">
        <v>25</v>
      </c>
      <c r="B35" s="348" t="s">
        <v>739</v>
      </c>
      <c r="C35" s="349">
        <v>27.1</v>
      </c>
      <c r="D35" s="349">
        <v>27.1</v>
      </c>
      <c r="E35" s="349">
        <v>6.2</v>
      </c>
      <c r="F35" s="349">
        <v>6.2</v>
      </c>
      <c r="G35" s="350">
        <v>125</v>
      </c>
      <c r="H35" s="350">
        <v>125</v>
      </c>
      <c r="I35" s="350">
        <v>0</v>
      </c>
      <c r="J35" s="350">
        <v>0</v>
      </c>
      <c r="K35" s="351">
        <v>250</v>
      </c>
      <c r="L35" s="351">
        <v>250</v>
      </c>
      <c r="M35" s="349">
        <v>8.9</v>
      </c>
      <c r="N35" s="349">
        <v>8.9</v>
      </c>
      <c r="O35" s="351">
        <v>0</v>
      </c>
      <c r="P35" s="351">
        <v>0</v>
      </c>
      <c r="Q35" s="351">
        <v>0</v>
      </c>
      <c r="R35" s="351">
        <v>0</v>
      </c>
      <c r="S35" s="349">
        <v>0</v>
      </c>
      <c r="T35" s="349">
        <v>0</v>
      </c>
      <c r="U35" s="349">
        <v>0</v>
      </c>
      <c r="V35" s="349">
        <v>0</v>
      </c>
      <c r="W35" s="349">
        <v>0</v>
      </c>
      <c r="X35" s="349">
        <v>0</v>
      </c>
      <c r="Y35" s="351">
        <v>0</v>
      </c>
      <c r="Z35" s="351">
        <v>0</v>
      </c>
      <c r="AA35" s="349">
        <v>17.7</v>
      </c>
      <c r="AB35" s="349">
        <v>17.7</v>
      </c>
      <c r="AC35" s="349">
        <v>15.2</v>
      </c>
      <c r="AD35" s="349">
        <v>15.2</v>
      </c>
      <c r="AE35" s="359">
        <f t="shared" si="0"/>
        <v>450.1</v>
      </c>
      <c r="AF35" s="359">
        <f t="shared" si="1"/>
        <v>450.1</v>
      </c>
      <c r="AG35" s="348" t="s">
        <v>739</v>
      </c>
    </row>
    <row r="36" spans="1:33" s="371" customFormat="1" ht="12.75" customHeight="1">
      <c r="A36" s="363"/>
      <c r="B36" s="364" t="s">
        <v>380</v>
      </c>
      <c r="C36" s="365">
        <f aca="true" t="shared" si="2" ref="C36:AD36">SUM(C11:C35)</f>
        <v>217.75</v>
      </c>
      <c r="D36" s="366">
        <f t="shared" si="2"/>
        <v>217.75</v>
      </c>
      <c r="E36" s="366">
        <f t="shared" si="2"/>
        <v>113.65</v>
      </c>
      <c r="F36" s="366">
        <f t="shared" si="2"/>
        <v>113.65</v>
      </c>
      <c r="G36" s="366">
        <f t="shared" si="2"/>
        <v>765</v>
      </c>
      <c r="H36" s="366">
        <f t="shared" si="2"/>
        <v>765</v>
      </c>
      <c r="I36" s="366">
        <f t="shared" si="2"/>
        <v>2021</v>
      </c>
      <c r="J36" s="366">
        <f t="shared" si="2"/>
        <v>2021</v>
      </c>
      <c r="K36" s="366">
        <f t="shared" si="2"/>
        <v>4345</v>
      </c>
      <c r="L36" s="366">
        <f t="shared" si="2"/>
        <v>4345</v>
      </c>
      <c r="M36" s="367">
        <f t="shared" si="2"/>
        <v>196.43</v>
      </c>
      <c r="N36" s="367">
        <f t="shared" si="2"/>
        <v>196.43</v>
      </c>
      <c r="O36" s="501">
        <f t="shared" si="2"/>
        <v>6284</v>
      </c>
      <c r="P36" s="501">
        <f t="shared" si="2"/>
        <v>5250</v>
      </c>
      <c r="Q36" s="502">
        <f t="shared" si="2"/>
        <v>300</v>
      </c>
      <c r="R36" s="502">
        <f t="shared" si="2"/>
        <v>300</v>
      </c>
      <c r="S36" s="504">
        <f t="shared" si="2"/>
        <v>119.5</v>
      </c>
      <c r="T36" s="504">
        <f t="shared" si="2"/>
        <v>97.5</v>
      </c>
      <c r="U36" s="368">
        <f t="shared" si="2"/>
        <v>4408.5</v>
      </c>
      <c r="V36" s="368">
        <f t="shared" si="2"/>
        <v>4408.5</v>
      </c>
      <c r="W36" s="368">
        <f t="shared" si="2"/>
        <v>108.4</v>
      </c>
      <c r="X36" s="368">
        <f t="shared" si="2"/>
        <v>108.4</v>
      </c>
      <c r="Y36" s="369">
        <f>SUM(Y11:Y35)</f>
        <v>28405</v>
      </c>
      <c r="Z36" s="506">
        <f t="shared" si="2"/>
        <v>16514.73</v>
      </c>
      <c r="AA36" s="366">
        <f t="shared" si="2"/>
        <v>442.8</v>
      </c>
      <c r="AB36" s="366">
        <f t="shared" si="2"/>
        <v>442.8</v>
      </c>
      <c r="AC36" s="507">
        <f t="shared" si="2"/>
        <v>238.45</v>
      </c>
      <c r="AD36" s="366">
        <f t="shared" si="2"/>
        <v>238.45</v>
      </c>
      <c r="AE36" s="370">
        <f>SUM(AE11:AE35)</f>
        <v>47965.48</v>
      </c>
      <c r="AF36" s="370">
        <f>SUM(AF11:AF35)</f>
        <v>35019.21</v>
      </c>
      <c r="AG36" s="364" t="s">
        <v>380</v>
      </c>
    </row>
    <row r="37" spans="2:9" ht="15.75">
      <c r="B37" s="374"/>
      <c r="I37" s="334"/>
    </row>
    <row r="38" spans="2:13" ht="15.75">
      <c r="B38" s="374" t="s">
        <v>762</v>
      </c>
      <c r="M38" s="334" t="s">
        <v>1017</v>
      </c>
    </row>
  </sheetData>
  <mergeCells count="18">
    <mergeCell ref="B6:R6"/>
    <mergeCell ref="Q7:S7"/>
    <mergeCell ref="AC7:AE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C8:AD8"/>
    <mergeCell ref="AE8:AF8"/>
    <mergeCell ref="U8:V8"/>
    <mergeCell ref="W8:X8"/>
    <mergeCell ref="Y8:Z8"/>
    <mergeCell ref="AA8:AB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8" sqref="D8"/>
    </sheetView>
  </sheetViews>
  <sheetFormatPr defaultColWidth="9.140625" defaultRowHeight="12.75"/>
  <cols>
    <col min="1" max="1" width="4.421875" style="45" customWidth="1"/>
    <col min="2" max="2" width="26.140625" style="46" customWidth="1"/>
    <col min="3" max="3" width="13.57421875" style="3" customWidth="1"/>
    <col min="4" max="4" width="14.28125" style="46" customWidth="1"/>
    <col min="5" max="5" width="14.140625" style="46" customWidth="1"/>
    <col min="6" max="6" width="12.7109375" style="46" customWidth="1"/>
    <col min="7" max="16384" width="8.8515625" style="46" customWidth="1"/>
  </cols>
  <sheetData>
    <row r="1" spans="4:6" ht="15">
      <c r="D1" s="38"/>
      <c r="E1" s="38"/>
      <c r="F1" s="38" t="s">
        <v>740</v>
      </c>
    </row>
    <row r="3" spans="2:5" ht="36.75" customHeight="1">
      <c r="B3" s="706" t="s">
        <v>256</v>
      </c>
      <c r="C3" s="706"/>
      <c r="D3" s="706"/>
      <c r="E3" s="706"/>
    </row>
    <row r="4" spans="5:6" ht="17.25" customHeight="1">
      <c r="E4" s="38"/>
      <c r="F4" s="47" t="s">
        <v>747</v>
      </c>
    </row>
    <row r="5" spans="1:6" ht="51" customHeight="1">
      <c r="A5" s="50" t="s">
        <v>922</v>
      </c>
      <c r="B5" s="86" t="s">
        <v>911</v>
      </c>
      <c r="C5" s="50" t="s">
        <v>923</v>
      </c>
      <c r="D5" s="50" t="s">
        <v>257</v>
      </c>
      <c r="E5" s="50" t="s">
        <v>924</v>
      </c>
      <c r="F5" s="50" t="s">
        <v>741</v>
      </c>
    </row>
    <row r="6" spans="1:6" ht="11.25" customHeight="1">
      <c r="A6" s="50">
        <v>1</v>
      </c>
      <c r="B6" s="95">
        <v>2</v>
      </c>
      <c r="C6" s="50">
        <v>3</v>
      </c>
      <c r="D6" s="50">
        <v>4</v>
      </c>
      <c r="E6" s="50">
        <v>5</v>
      </c>
      <c r="F6" s="50">
        <v>6</v>
      </c>
    </row>
    <row r="7" spans="1:6" s="333" customFormat="1" ht="14.25">
      <c r="A7" s="292" t="s">
        <v>925</v>
      </c>
      <c r="B7" s="583" t="s">
        <v>926</v>
      </c>
      <c r="C7" s="584">
        <v>1900</v>
      </c>
      <c r="D7" s="584">
        <v>1643</v>
      </c>
      <c r="E7" s="584">
        <f>SUM(D7-C7)</f>
        <v>-257</v>
      </c>
      <c r="F7" s="585">
        <f>SUM(E7/C7*100)</f>
        <v>-13.5</v>
      </c>
    </row>
    <row r="8" spans="1:6" ht="30">
      <c r="A8" s="50" t="s">
        <v>771</v>
      </c>
      <c r="B8" s="586" t="s">
        <v>927</v>
      </c>
      <c r="C8" s="587"/>
      <c r="D8" s="587"/>
      <c r="E8" s="588"/>
      <c r="F8" s="588"/>
    </row>
    <row r="9" spans="1:6" ht="19.5" customHeight="1">
      <c r="A9" s="50"/>
      <c r="B9" s="586" t="s">
        <v>928</v>
      </c>
      <c r="C9" s="587">
        <v>387</v>
      </c>
      <c r="D9" s="587">
        <v>343</v>
      </c>
      <c r="E9" s="588">
        <f aca="true" t="shared" si="0" ref="E9:E17">SUM(D9-C9)</f>
        <v>-44</v>
      </c>
      <c r="F9" s="589">
        <f aca="true" t="shared" si="1" ref="F9:F17">SUM(E9/C9*100)</f>
        <v>-11.4</v>
      </c>
    </row>
    <row r="10" spans="1:6" ht="30">
      <c r="A10" s="50"/>
      <c r="B10" s="586" t="s">
        <v>984</v>
      </c>
      <c r="C10" s="587">
        <v>1140</v>
      </c>
      <c r="D10" s="587">
        <v>1028</v>
      </c>
      <c r="E10" s="588">
        <f t="shared" si="0"/>
        <v>-112</v>
      </c>
      <c r="F10" s="589">
        <f t="shared" si="1"/>
        <v>-9.8</v>
      </c>
    </row>
    <row r="11" spans="1:6" ht="33" customHeight="1">
      <c r="A11" s="50"/>
      <c r="B11" s="586" t="s">
        <v>980</v>
      </c>
      <c r="C11" s="587">
        <v>6</v>
      </c>
      <c r="D11" s="587">
        <v>13</v>
      </c>
      <c r="E11" s="588">
        <f t="shared" si="0"/>
        <v>7</v>
      </c>
      <c r="F11" s="589">
        <f t="shared" si="1"/>
        <v>116.7</v>
      </c>
    </row>
    <row r="12" spans="1:6" s="333" customFormat="1" ht="28.5">
      <c r="A12" s="292" t="s">
        <v>929</v>
      </c>
      <c r="B12" s="590" t="s">
        <v>930</v>
      </c>
      <c r="C12" s="584">
        <v>31651</v>
      </c>
      <c r="D12" s="584">
        <v>34008</v>
      </c>
      <c r="E12" s="584">
        <f t="shared" si="0"/>
        <v>2357</v>
      </c>
      <c r="F12" s="585">
        <f t="shared" si="1"/>
        <v>7.4</v>
      </c>
    </row>
    <row r="13" spans="1:6" ht="30">
      <c r="A13" s="50" t="s">
        <v>774</v>
      </c>
      <c r="B13" s="586" t="s">
        <v>927</v>
      </c>
      <c r="C13" s="587"/>
      <c r="D13" s="587"/>
      <c r="E13" s="588"/>
      <c r="F13" s="588"/>
    </row>
    <row r="14" spans="1:6" ht="15">
      <c r="A14" s="50"/>
      <c r="B14" s="586" t="s">
        <v>928</v>
      </c>
      <c r="C14" s="587">
        <v>29885</v>
      </c>
      <c r="D14" s="587">
        <v>32865</v>
      </c>
      <c r="E14" s="588">
        <f t="shared" si="0"/>
        <v>2980</v>
      </c>
      <c r="F14" s="589">
        <f t="shared" si="1"/>
        <v>10</v>
      </c>
    </row>
    <row r="15" spans="1:6" ht="30">
      <c r="A15" s="50"/>
      <c r="B15" s="586" t="s">
        <v>984</v>
      </c>
      <c r="C15" s="587">
        <v>361</v>
      </c>
      <c r="D15" s="587">
        <v>394</v>
      </c>
      <c r="E15" s="588">
        <f t="shared" si="0"/>
        <v>33</v>
      </c>
      <c r="F15" s="589">
        <f t="shared" si="1"/>
        <v>9.1</v>
      </c>
    </row>
    <row r="16" spans="1:6" ht="30">
      <c r="A16" s="50"/>
      <c r="B16" s="586" t="s">
        <v>980</v>
      </c>
      <c r="C16" s="587"/>
      <c r="D16" s="587"/>
      <c r="E16" s="588"/>
      <c r="F16" s="588"/>
    </row>
    <row r="17" spans="1:6" s="333" customFormat="1" ht="14.25">
      <c r="A17" s="224"/>
      <c r="B17" s="583" t="s">
        <v>931</v>
      </c>
      <c r="C17" s="584">
        <f>C12+C7</f>
        <v>33551</v>
      </c>
      <c r="D17" s="584">
        <f>D12+D7</f>
        <v>35651</v>
      </c>
      <c r="E17" s="584">
        <f t="shared" si="0"/>
        <v>2100</v>
      </c>
      <c r="F17" s="585">
        <f t="shared" si="1"/>
        <v>6.3</v>
      </c>
    </row>
    <row r="18" spans="1:6" ht="15">
      <c r="A18" s="3"/>
      <c r="B18" s="96"/>
      <c r="D18" s="3"/>
      <c r="E18" s="48"/>
      <c r="F18" s="3"/>
    </row>
    <row r="19" spans="1:6" ht="62.25" customHeight="1">
      <c r="A19" s="879" t="s">
        <v>258</v>
      </c>
      <c r="B19" s="879"/>
      <c r="C19" s="879"/>
      <c r="D19" s="879"/>
      <c r="E19" s="879"/>
      <c r="F19" s="879"/>
    </row>
    <row r="20" spans="1:6" ht="15">
      <c r="A20" s="3"/>
      <c r="B20" s="96"/>
      <c r="D20" s="3"/>
      <c r="E20" s="48"/>
      <c r="F20" s="3"/>
    </row>
    <row r="21" spans="1:6" ht="15">
      <c r="A21" s="3"/>
      <c r="B21" s="96"/>
      <c r="D21" s="3"/>
      <c r="E21" s="48"/>
      <c r="F21" s="3"/>
    </row>
    <row r="22" spans="1:6" ht="30" customHeight="1">
      <c r="A22" s="880" t="s">
        <v>934</v>
      </c>
      <c r="B22" s="880"/>
      <c r="C22" s="880"/>
      <c r="D22" s="880"/>
      <c r="E22" s="49"/>
      <c r="F22" s="580" t="s">
        <v>742</v>
      </c>
    </row>
    <row r="23" spans="1:6" ht="15">
      <c r="A23" s="49"/>
      <c r="B23" s="97"/>
      <c r="C23" s="49"/>
      <c r="D23" s="49"/>
      <c r="E23" s="49"/>
      <c r="F23" s="3"/>
    </row>
  </sheetData>
  <mergeCells count="3">
    <mergeCell ref="B3:E3"/>
    <mergeCell ref="A19:F19"/>
    <mergeCell ref="A22:D2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L15" sqref="L15"/>
    </sheetView>
  </sheetViews>
  <sheetFormatPr defaultColWidth="9.140625" defaultRowHeight="12.75"/>
  <cols>
    <col min="1" max="1" width="4.57421875" style="474" customWidth="1"/>
    <col min="2" max="2" width="32.140625" style="474" customWidth="1"/>
    <col min="3" max="3" width="10.57421875" style="474" customWidth="1"/>
    <col min="4" max="4" width="3.7109375" style="474" customWidth="1"/>
    <col min="5" max="5" width="7.8515625" style="474" customWidth="1"/>
    <col min="6" max="6" width="4.8515625" style="474" customWidth="1"/>
    <col min="7" max="7" width="8.421875" style="474" customWidth="1"/>
    <col min="8" max="8" width="7.421875" style="474" customWidth="1"/>
    <col min="9" max="9" width="6.28125" style="474" customWidth="1"/>
    <col min="10" max="10" width="2.57421875" style="474" customWidth="1"/>
    <col min="11" max="11" width="9.00390625" style="474" customWidth="1"/>
  </cols>
  <sheetData>
    <row r="1" spans="1:11" ht="12.75" customHeight="1">
      <c r="A1" s="468"/>
      <c r="B1" s="915"/>
      <c r="C1" s="915"/>
      <c r="D1" s="915"/>
      <c r="E1" s="915"/>
      <c r="F1" s="469"/>
      <c r="G1" s="915"/>
      <c r="H1" s="915"/>
      <c r="I1" s="911" t="s">
        <v>921</v>
      </c>
      <c r="J1" s="911"/>
      <c r="K1" s="911"/>
    </row>
    <row r="2" spans="1:11" ht="12.75" customHeight="1">
      <c r="A2" s="468"/>
      <c r="B2" s="469"/>
      <c r="C2" s="469"/>
      <c r="D2" s="469"/>
      <c r="E2" s="469"/>
      <c r="F2" s="469"/>
      <c r="G2" s="469"/>
      <c r="H2" s="469"/>
      <c r="I2" s="591"/>
      <c r="J2" s="591"/>
      <c r="K2" s="591"/>
    </row>
    <row r="3" spans="1:11" ht="15" customHeight="1">
      <c r="A3" s="912" t="s">
        <v>501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</row>
    <row r="4" spans="1:11" ht="15" customHeight="1">
      <c r="A4" s="592"/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ht="12" customHeight="1">
      <c r="A5" s="468"/>
      <c r="B5" s="470"/>
      <c r="C5" s="913"/>
      <c r="D5" s="913"/>
      <c r="E5" s="913"/>
      <c r="F5" s="469"/>
      <c r="G5" s="913"/>
      <c r="H5" s="913"/>
      <c r="I5" s="469"/>
      <c r="J5" s="914" t="s">
        <v>764</v>
      </c>
      <c r="K5" s="914"/>
    </row>
    <row r="6" spans="1:11" s="472" customFormat="1" ht="36" customHeight="1">
      <c r="A6" s="910" t="s">
        <v>743</v>
      </c>
      <c r="B6" s="909" t="s">
        <v>944</v>
      </c>
      <c r="C6" s="909" t="s">
        <v>945</v>
      </c>
      <c r="D6" s="909"/>
      <c r="E6" s="909"/>
      <c r="F6" s="909"/>
      <c r="G6" s="909" t="s">
        <v>946</v>
      </c>
      <c r="H6" s="909"/>
      <c r="I6" s="909" t="s">
        <v>947</v>
      </c>
      <c r="J6" s="909"/>
      <c r="K6" s="909"/>
    </row>
    <row r="7" spans="1:11" s="472" customFormat="1" ht="51.75" customHeight="1">
      <c r="A7" s="910"/>
      <c r="B7" s="909"/>
      <c r="C7" s="909" t="s">
        <v>948</v>
      </c>
      <c r="D7" s="909"/>
      <c r="E7" s="909" t="s">
        <v>949</v>
      </c>
      <c r="F7" s="909"/>
      <c r="G7" s="629" t="s">
        <v>950</v>
      </c>
      <c r="H7" s="628" t="s">
        <v>951</v>
      </c>
      <c r="I7" s="909" t="s">
        <v>952</v>
      </c>
      <c r="J7" s="909"/>
      <c r="K7" s="629" t="s">
        <v>953</v>
      </c>
    </row>
    <row r="8" spans="1:11" ht="12.75">
      <c r="A8" s="630">
        <v>1</v>
      </c>
      <c r="B8" s="630">
        <v>2</v>
      </c>
      <c r="C8" s="907">
        <v>3</v>
      </c>
      <c r="D8" s="907"/>
      <c r="E8" s="907">
        <v>4</v>
      </c>
      <c r="F8" s="907"/>
      <c r="G8" s="630">
        <v>5</v>
      </c>
      <c r="H8" s="631">
        <v>6</v>
      </c>
      <c r="I8" s="907">
        <v>7</v>
      </c>
      <c r="J8" s="907"/>
      <c r="K8" s="630">
        <v>8</v>
      </c>
    </row>
    <row r="9" spans="1:11" ht="27" customHeight="1">
      <c r="A9" s="908" t="s">
        <v>631</v>
      </c>
      <c r="B9" s="908"/>
      <c r="C9" s="904" t="s">
        <v>801</v>
      </c>
      <c r="D9" s="904"/>
      <c r="E9" s="904" t="s">
        <v>801</v>
      </c>
      <c r="F9" s="904"/>
      <c r="G9" s="633">
        <f>G13+G29+G38</f>
        <v>69972.4</v>
      </c>
      <c r="H9" s="634">
        <f>H13+H29+H38</f>
        <v>37753.8</v>
      </c>
      <c r="I9" s="888">
        <f>I13+I38+I29</f>
        <v>30211.8</v>
      </c>
      <c r="J9" s="888"/>
      <c r="K9" s="633">
        <f>K13+K29+K38</f>
        <v>30651.2</v>
      </c>
    </row>
    <row r="10" spans="1:11" ht="39" customHeight="1">
      <c r="A10" s="635">
        <v>1</v>
      </c>
      <c r="B10" s="636" t="s">
        <v>954</v>
      </c>
      <c r="C10" s="904"/>
      <c r="D10" s="904"/>
      <c r="E10" s="904"/>
      <c r="F10" s="904"/>
      <c r="G10" s="633"/>
      <c r="H10" s="634"/>
      <c r="I10" s="888"/>
      <c r="J10" s="888"/>
      <c r="K10" s="633"/>
    </row>
    <row r="11" spans="1:11" ht="12.75">
      <c r="A11" s="632" t="s">
        <v>770</v>
      </c>
      <c r="B11" s="637"/>
      <c r="C11" s="904"/>
      <c r="D11" s="904"/>
      <c r="E11" s="904"/>
      <c r="F11" s="904"/>
      <c r="G11" s="633"/>
      <c r="H11" s="634"/>
      <c r="I11" s="888"/>
      <c r="J11" s="888"/>
      <c r="K11" s="633"/>
    </row>
    <row r="12" spans="1:11" ht="12.75" customHeight="1" hidden="1">
      <c r="A12" s="632" t="s">
        <v>771</v>
      </c>
      <c r="B12" s="637"/>
      <c r="C12" s="904"/>
      <c r="D12" s="904"/>
      <c r="E12" s="904"/>
      <c r="F12" s="904"/>
      <c r="G12" s="633"/>
      <c r="H12" s="634"/>
      <c r="I12" s="888"/>
      <c r="J12" s="888"/>
      <c r="K12" s="633"/>
    </row>
    <row r="13" spans="1:11" ht="39.75" customHeight="1">
      <c r="A13" s="635">
        <v>2</v>
      </c>
      <c r="B13" s="636" t="s">
        <v>955</v>
      </c>
      <c r="C13" s="905">
        <f>C14+C15+C16+C17+C18+C19+C20+C21</f>
        <v>4.66</v>
      </c>
      <c r="D13" s="905"/>
      <c r="E13" s="905">
        <f>E14+E15+E16+E17+E18+E19+E20+E21</f>
        <v>3.478</v>
      </c>
      <c r="F13" s="905"/>
      <c r="G13" s="638">
        <f>G14+G15+G16+G17+G18+G19+G20+G21++G22+G23+G24+G25+G26+G27+G28</f>
        <v>41995.4</v>
      </c>
      <c r="H13" s="639">
        <f>H14+H15+H16+H17+H18+H19+H20+H21+H22+H23+H24+H25+H26+H27+H28</f>
        <v>28200.8</v>
      </c>
      <c r="I13" s="906">
        <f>I14+I15+I16+I17+I18+I19+I20+I21+I22+I23+I24+I25+I26+I27+I28</f>
        <v>24099.6</v>
      </c>
      <c r="J13" s="906"/>
      <c r="K13" s="638">
        <f>K14+K15+K16+K17++K18+K19+K20+K21+K22+K23++K24+K25+K26+K27+K28</f>
        <v>24450.4</v>
      </c>
    </row>
    <row r="14" spans="1:11" ht="12.75">
      <c r="A14" s="640" t="s">
        <v>774</v>
      </c>
      <c r="B14" s="641" t="s">
        <v>632</v>
      </c>
      <c r="C14" s="902">
        <v>0</v>
      </c>
      <c r="D14" s="902"/>
      <c r="E14" s="902">
        <v>0</v>
      </c>
      <c r="F14" s="902"/>
      <c r="G14" s="642">
        <v>2376.3</v>
      </c>
      <c r="H14" s="643">
        <v>2376.3</v>
      </c>
      <c r="I14" s="886">
        <v>0</v>
      </c>
      <c r="J14" s="886"/>
      <c r="K14" s="642">
        <v>0</v>
      </c>
    </row>
    <row r="15" spans="1:12" ht="25.5">
      <c r="A15" s="640" t="s">
        <v>775</v>
      </c>
      <c r="B15" s="641" t="s">
        <v>633</v>
      </c>
      <c r="C15" s="902">
        <v>0</v>
      </c>
      <c r="D15" s="902"/>
      <c r="E15" s="903">
        <v>0.0207</v>
      </c>
      <c r="F15" s="903"/>
      <c r="G15" s="642">
        <f>2363.1+566.8</f>
        <v>2929.9</v>
      </c>
      <c r="H15" s="643">
        <v>2929.9</v>
      </c>
      <c r="I15" s="886">
        <v>2566.8</v>
      </c>
      <c r="J15" s="886"/>
      <c r="K15" s="642">
        <v>2917.6</v>
      </c>
      <c r="L15" s="456"/>
    </row>
    <row r="16" spans="1:11" ht="26.25" customHeight="1">
      <c r="A16" s="640" t="s">
        <v>776</v>
      </c>
      <c r="B16" s="641" t="s">
        <v>634</v>
      </c>
      <c r="C16" s="902">
        <v>0</v>
      </c>
      <c r="D16" s="902"/>
      <c r="E16" s="902">
        <v>0</v>
      </c>
      <c r="F16" s="902"/>
      <c r="G16" s="642">
        <v>160.6</v>
      </c>
      <c r="H16" s="643">
        <v>160.6</v>
      </c>
      <c r="I16" s="901">
        <v>0</v>
      </c>
      <c r="J16" s="901"/>
      <c r="K16" s="644">
        <v>0</v>
      </c>
    </row>
    <row r="17" spans="1:11" ht="25.5">
      <c r="A17" s="640" t="s">
        <v>635</v>
      </c>
      <c r="B17" s="641" t="s">
        <v>636</v>
      </c>
      <c r="C17" s="902">
        <v>0</v>
      </c>
      <c r="D17" s="902"/>
      <c r="E17" s="902">
        <v>0</v>
      </c>
      <c r="F17" s="902"/>
      <c r="G17" s="642">
        <v>2290.6</v>
      </c>
      <c r="H17" s="643">
        <v>0</v>
      </c>
      <c r="I17" s="901">
        <v>0</v>
      </c>
      <c r="J17" s="901"/>
      <c r="K17" s="644">
        <v>0</v>
      </c>
    </row>
    <row r="18" spans="1:11" ht="28.5" customHeight="1">
      <c r="A18" s="640" t="s">
        <v>637</v>
      </c>
      <c r="B18" s="641" t="s">
        <v>638</v>
      </c>
      <c r="C18" s="902">
        <v>3.46</v>
      </c>
      <c r="D18" s="902"/>
      <c r="E18" s="902">
        <v>3.457</v>
      </c>
      <c r="F18" s="902"/>
      <c r="G18" s="642">
        <v>12000</v>
      </c>
      <c r="H18" s="643">
        <v>12000</v>
      </c>
      <c r="I18" s="886">
        <v>12000</v>
      </c>
      <c r="J18" s="886"/>
      <c r="K18" s="642">
        <v>12000</v>
      </c>
    </row>
    <row r="19" spans="1:11" ht="28.5" customHeight="1">
      <c r="A19" s="640" t="s">
        <v>639</v>
      </c>
      <c r="B19" s="641" t="s">
        <v>640</v>
      </c>
      <c r="C19" s="902">
        <v>1.2</v>
      </c>
      <c r="D19" s="902"/>
      <c r="E19" s="902">
        <v>0</v>
      </c>
      <c r="F19" s="902"/>
      <c r="G19" s="642">
        <v>10000</v>
      </c>
      <c r="H19" s="643">
        <v>6700</v>
      </c>
      <c r="I19" s="886">
        <v>6700</v>
      </c>
      <c r="J19" s="886"/>
      <c r="K19" s="642">
        <v>6700</v>
      </c>
    </row>
    <row r="20" spans="1:11" ht="25.5">
      <c r="A20" s="640" t="s">
        <v>641</v>
      </c>
      <c r="B20" s="641" t="s">
        <v>642</v>
      </c>
      <c r="C20" s="885">
        <v>0</v>
      </c>
      <c r="D20" s="885"/>
      <c r="E20" s="885">
        <v>0</v>
      </c>
      <c r="F20" s="885"/>
      <c r="G20" s="642">
        <v>600</v>
      </c>
      <c r="H20" s="643">
        <v>0</v>
      </c>
      <c r="I20" s="901">
        <v>0</v>
      </c>
      <c r="J20" s="901"/>
      <c r="K20" s="644">
        <v>0</v>
      </c>
    </row>
    <row r="21" spans="1:11" ht="25.5">
      <c r="A21" s="640" t="s">
        <v>643</v>
      </c>
      <c r="B21" s="641" t="s">
        <v>644</v>
      </c>
      <c r="C21" s="885">
        <v>0</v>
      </c>
      <c r="D21" s="885"/>
      <c r="E21" s="885">
        <v>0</v>
      </c>
      <c r="F21" s="885"/>
      <c r="G21" s="642">
        <v>160</v>
      </c>
      <c r="H21" s="643">
        <v>0</v>
      </c>
      <c r="I21" s="901">
        <v>0</v>
      </c>
      <c r="J21" s="901"/>
      <c r="K21" s="644">
        <v>0</v>
      </c>
    </row>
    <row r="22" spans="1:11" ht="25.5">
      <c r="A22" s="640" t="s">
        <v>645</v>
      </c>
      <c r="B22" s="641" t="s">
        <v>646</v>
      </c>
      <c r="C22" s="885">
        <v>0</v>
      </c>
      <c r="D22" s="885"/>
      <c r="E22" s="885">
        <v>0</v>
      </c>
      <c r="F22" s="885"/>
      <c r="G22" s="642">
        <v>159</v>
      </c>
      <c r="H22" s="643">
        <v>0</v>
      </c>
      <c r="I22" s="901">
        <v>0</v>
      </c>
      <c r="J22" s="901"/>
      <c r="K22" s="644">
        <v>0</v>
      </c>
    </row>
    <row r="23" spans="1:11" ht="38.25">
      <c r="A23" s="640" t="s">
        <v>647</v>
      </c>
      <c r="B23" s="641" t="s">
        <v>648</v>
      </c>
      <c r="C23" s="885">
        <v>0</v>
      </c>
      <c r="D23" s="885"/>
      <c r="E23" s="885">
        <v>0</v>
      </c>
      <c r="F23" s="885"/>
      <c r="G23" s="642">
        <v>1800</v>
      </c>
      <c r="H23" s="643">
        <v>1800</v>
      </c>
      <c r="I23" s="901">
        <v>1791</v>
      </c>
      <c r="J23" s="901"/>
      <c r="K23" s="644">
        <v>1791</v>
      </c>
    </row>
    <row r="24" spans="1:11" ht="15.75" customHeight="1">
      <c r="A24" s="640" t="s">
        <v>649</v>
      </c>
      <c r="B24" s="641" t="s">
        <v>650</v>
      </c>
      <c r="C24" s="885">
        <v>0</v>
      </c>
      <c r="D24" s="885"/>
      <c r="E24" s="885">
        <v>0</v>
      </c>
      <c r="F24" s="885"/>
      <c r="G24" s="642">
        <v>3350</v>
      </c>
      <c r="H24" s="643">
        <v>784</v>
      </c>
      <c r="I24" s="901">
        <v>0</v>
      </c>
      <c r="J24" s="901"/>
      <c r="K24" s="644">
        <v>0</v>
      </c>
    </row>
    <row r="25" spans="1:11" ht="25.5">
      <c r="A25" s="640" t="s">
        <v>651</v>
      </c>
      <c r="B25" s="641" t="s">
        <v>652</v>
      </c>
      <c r="C25" s="885">
        <v>0</v>
      </c>
      <c r="D25" s="885"/>
      <c r="E25" s="885">
        <v>0</v>
      </c>
      <c r="F25" s="885"/>
      <c r="G25" s="642">
        <v>2019</v>
      </c>
      <c r="H25" s="643">
        <v>0</v>
      </c>
      <c r="I25" s="901">
        <v>0</v>
      </c>
      <c r="J25" s="901"/>
      <c r="K25" s="644">
        <v>0</v>
      </c>
    </row>
    <row r="26" spans="1:11" ht="25.5">
      <c r="A26" s="640" t="s">
        <v>653</v>
      </c>
      <c r="B26" s="641" t="s">
        <v>654</v>
      </c>
      <c r="C26" s="885">
        <v>0</v>
      </c>
      <c r="D26" s="885"/>
      <c r="E26" s="885">
        <v>0</v>
      </c>
      <c r="F26" s="885"/>
      <c r="G26" s="642">
        <v>1000</v>
      </c>
      <c r="H26" s="643">
        <v>300</v>
      </c>
      <c r="I26" s="901">
        <v>0</v>
      </c>
      <c r="J26" s="901"/>
      <c r="K26" s="644">
        <v>0</v>
      </c>
    </row>
    <row r="27" spans="1:11" ht="38.25">
      <c r="A27" s="640" t="s">
        <v>655</v>
      </c>
      <c r="B27" s="641" t="s">
        <v>656</v>
      </c>
      <c r="C27" s="885">
        <v>0</v>
      </c>
      <c r="D27" s="885"/>
      <c r="E27" s="885">
        <v>0</v>
      </c>
      <c r="F27" s="885"/>
      <c r="G27" s="642">
        <v>850</v>
      </c>
      <c r="H27" s="643">
        <v>0</v>
      </c>
      <c r="I27" s="901">
        <v>0</v>
      </c>
      <c r="J27" s="901"/>
      <c r="K27" s="644">
        <v>0</v>
      </c>
    </row>
    <row r="28" spans="1:11" ht="27" customHeight="1">
      <c r="A28" s="640" t="s">
        <v>484</v>
      </c>
      <c r="B28" s="641" t="s">
        <v>485</v>
      </c>
      <c r="C28" s="897">
        <v>1.75</v>
      </c>
      <c r="D28" s="898"/>
      <c r="E28" s="897">
        <v>0</v>
      </c>
      <c r="F28" s="898"/>
      <c r="G28" s="642">
        <v>2300</v>
      </c>
      <c r="H28" s="643">
        <v>1150</v>
      </c>
      <c r="I28" s="899">
        <v>1041.8</v>
      </c>
      <c r="J28" s="900"/>
      <c r="K28" s="642">
        <v>1041.8</v>
      </c>
    </row>
    <row r="29" spans="1:11" ht="26.25" customHeight="1">
      <c r="A29" s="635">
        <v>3</v>
      </c>
      <c r="B29" s="636" t="s">
        <v>956</v>
      </c>
      <c r="C29" s="887">
        <v>0</v>
      </c>
      <c r="D29" s="887"/>
      <c r="E29" s="887">
        <v>0</v>
      </c>
      <c r="F29" s="887"/>
      <c r="G29" s="633">
        <f>G30+G31+G32+G33+G34+G35+G36+G37</f>
        <v>12131</v>
      </c>
      <c r="H29" s="633">
        <f>H30+H31+H32+H33+H34+H35+H36+H37</f>
        <v>905.5</v>
      </c>
      <c r="I29" s="888">
        <f>I30+I31+I32+I33+I34+I35+I36+I37</f>
        <v>657.5</v>
      </c>
      <c r="J29" s="888"/>
      <c r="K29" s="633">
        <f>K30+K31+K32+K33+K34+K35+K36+K37</f>
        <v>746.1</v>
      </c>
    </row>
    <row r="30" spans="1:11" ht="15" customHeight="1">
      <c r="A30" s="635" t="s">
        <v>778</v>
      </c>
      <c r="B30" s="636" t="s">
        <v>657</v>
      </c>
      <c r="C30" s="887">
        <v>0</v>
      </c>
      <c r="D30" s="887"/>
      <c r="E30" s="887">
        <v>0</v>
      </c>
      <c r="F30" s="887"/>
      <c r="G30" s="633">
        <v>9.7</v>
      </c>
      <c r="H30" s="634">
        <v>9.7</v>
      </c>
      <c r="I30" s="888">
        <v>9.7</v>
      </c>
      <c r="J30" s="888"/>
      <c r="K30" s="633">
        <v>0</v>
      </c>
    </row>
    <row r="31" spans="1:11" ht="12.75">
      <c r="A31" s="635" t="s">
        <v>779</v>
      </c>
      <c r="B31" s="636" t="s">
        <v>486</v>
      </c>
      <c r="C31" s="893">
        <v>0.34</v>
      </c>
      <c r="D31" s="894"/>
      <c r="E31" s="893">
        <v>0.34</v>
      </c>
      <c r="F31" s="894"/>
      <c r="G31" s="633">
        <v>248</v>
      </c>
      <c r="H31" s="634">
        <v>248</v>
      </c>
      <c r="I31" s="895"/>
      <c r="J31" s="896"/>
      <c r="K31" s="633">
        <v>248</v>
      </c>
    </row>
    <row r="32" spans="1:11" ht="12.75">
      <c r="A32" s="635" t="s">
        <v>780</v>
      </c>
      <c r="B32" s="636" t="s">
        <v>487</v>
      </c>
      <c r="C32" s="893" t="s">
        <v>488</v>
      </c>
      <c r="D32" s="894"/>
      <c r="E32" s="893" t="s">
        <v>488</v>
      </c>
      <c r="F32" s="894"/>
      <c r="G32" s="633">
        <v>543.7</v>
      </c>
      <c r="H32" s="634">
        <v>498.1</v>
      </c>
      <c r="I32" s="895">
        <v>498.1</v>
      </c>
      <c r="J32" s="896"/>
      <c r="K32" s="633">
        <v>498.1</v>
      </c>
    </row>
    <row r="33" spans="1:11" ht="12.75">
      <c r="A33" s="635" t="s">
        <v>658</v>
      </c>
      <c r="B33" s="636" t="s">
        <v>489</v>
      </c>
      <c r="C33" s="889" t="s">
        <v>490</v>
      </c>
      <c r="D33" s="890"/>
      <c r="E33" s="889">
        <v>0</v>
      </c>
      <c r="F33" s="890"/>
      <c r="G33" s="633">
        <v>547.3</v>
      </c>
      <c r="H33" s="634">
        <v>149.7</v>
      </c>
      <c r="I33" s="895">
        <v>149.7</v>
      </c>
      <c r="J33" s="896"/>
      <c r="K33" s="633"/>
    </row>
    <row r="34" spans="1:11" ht="12.75">
      <c r="A34" s="635" t="s">
        <v>491</v>
      </c>
      <c r="B34" s="636" t="s">
        <v>492</v>
      </c>
      <c r="C34" s="889">
        <v>11.87</v>
      </c>
      <c r="D34" s="890"/>
      <c r="E34" s="889">
        <v>0</v>
      </c>
      <c r="F34" s="890"/>
      <c r="G34" s="633">
        <v>500</v>
      </c>
      <c r="H34" s="648">
        <v>0</v>
      </c>
      <c r="I34" s="891">
        <v>0</v>
      </c>
      <c r="J34" s="892"/>
      <c r="K34" s="651">
        <v>0</v>
      </c>
    </row>
    <row r="35" spans="1:11" ht="16.5" customHeight="1">
      <c r="A35" s="635" t="s">
        <v>493</v>
      </c>
      <c r="B35" s="636" t="s">
        <v>494</v>
      </c>
      <c r="C35" s="889" t="s">
        <v>495</v>
      </c>
      <c r="D35" s="890"/>
      <c r="E35" s="889">
        <v>0</v>
      </c>
      <c r="F35" s="890"/>
      <c r="G35" s="633">
        <v>1350</v>
      </c>
      <c r="H35" s="648">
        <v>0</v>
      </c>
      <c r="I35" s="891">
        <v>0</v>
      </c>
      <c r="J35" s="892"/>
      <c r="K35" s="651">
        <v>0</v>
      </c>
    </row>
    <row r="36" spans="1:11" ht="25.5">
      <c r="A36" s="635" t="s">
        <v>496</v>
      </c>
      <c r="B36" s="636" t="s">
        <v>497</v>
      </c>
      <c r="C36" s="889">
        <v>0</v>
      </c>
      <c r="D36" s="890"/>
      <c r="E36" s="889">
        <v>0</v>
      </c>
      <c r="F36" s="890"/>
      <c r="G36" s="633">
        <v>154</v>
      </c>
      <c r="H36" s="648">
        <v>0</v>
      </c>
      <c r="I36" s="891">
        <v>0</v>
      </c>
      <c r="J36" s="892"/>
      <c r="K36" s="651">
        <v>0</v>
      </c>
    </row>
    <row r="37" spans="1:11" ht="12.75" customHeight="1">
      <c r="A37" s="635" t="s">
        <v>498</v>
      </c>
      <c r="B37" s="636" t="s">
        <v>499</v>
      </c>
      <c r="C37" s="646">
        <v>0</v>
      </c>
      <c r="D37" s="647"/>
      <c r="E37" s="646">
        <v>0</v>
      </c>
      <c r="F37" s="647"/>
      <c r="G37" s="633">
        <v>8778.3</v>
      </c>
      <c r="H37" s="648">
        <v>0</v>
      </c>
      <c r="I37" s="649">
        <v>0</v>
      </c>
      <c r="J37" s="650"/>
      <c r="K37" s="651">
        <v>0</v>
      </c>
    </row>
    <row r="38" spans="1:11" ht="27" customHeight="1">
      <c r="A38" s="635">
        <v>4</v>
      </c>
      <c r="B38" s="636" t="s">
        <v>957</v>
      </c>
      <c r="C38" s="887">
        <v>0</v>
      </c>
      <c r="D38" s="887"/>
      <c r="E38" s="887">
        <v>0</v>
      </c>
      <c r="F38" s="887"/>
      <c r="G38" s="633">
        <f>G39+G40+G41+G42+G43+G44+G45</f>
        <v>15846</v>
      </c>
      <c r="H38" s="634">
        <f>H39+H40+H41+H42+H44+H43+H45</f>
        <v>8647.5</v>
      </c>
      <c r="I38" s="888">
        <f>I39+I40+I41+I42+I44+I43+I45</f>
        <v>5454.7</v>
      </c>
      <c r="J38" s="888"/>
      <c r="K38" s="633">
        <f>K39+K40+K41+K42+K44+K43+K45</f>
        <v>5454.7</v>
      </c>
    </row>
    <row r="39" spans="1:11" ht="12.75">
      <c r="A39" s="632" t="s">
        <v>782</v>
      </c>
      <c r="B39" s="637" t="s">
        <v>659</v>
      </c>
      <c r="C39" s="887">
        <v>0</v>
      </c>
      <c r="D39" s="887"/>
      <c r="E39" s="887">
        <v>0</v>
      </c>
      <c r="F39" s="887"/>
      <c r="G39" s="633">
        <v>5505.9</v>
      </c>
      <c r="H39" s="634">
        <v>3447.7</v>
      </c>
      <c r="I39" s="888">
        <v>3447.7</v>
      </c>
      <c r="J39" s="888"/>
      <c r="K39" s="633">
        <v>3447.7</v>
      </c>
    </row>
    <row r="40" spans="1:11" ht="12.75">
      <c r="A40" s="630" t="s">
        <v>783</v>
      </c>
      <c r="B40" s="652" t="s">
        <v>660</v>
      </c>
      <c r="C40" s="885">
        <v>0</v>
      </c>
      <c r="D40" s="885"/>
      <c r="E40" s="885">
        <v>0</v>
      </c>
      <c r="F40" s="885"/>
      <c r="G40" s="642">
        <v>2079.8</v>
      </c>
      <c r="H40" s="643">
        <v>830.9</v>
      </c>
      <c r="I40" s="886">
        <v>830.9</v>
      </c>
      <c r="J40" s="886"/>
      <c r="K40" s="642">
        <v>830.9</v>
      </c>
    </row>
    <row r="41" spans="1:11" ht="12.75" customHeight="1">
      <c r="A41" s="630" t="s">
        <v>784</v>
      </c>
      <c r="B41" s="652" t="str">
        <f>'[1]23 (4квартал) (3)'!$B$27</f>
        <v>ЗАО ПУДСиБ</v>
      </c>
      <c r="C41" s="885">
        <v>0</v>
      </c>
      <c r="D41" s="885"/>
      <c r="E41" s="885">
        <v>0</v>
      </c>
      <c r="F41" s="885"/>
      <c r="G41" s="642">
        <v>1506.3</v>
      </c>
      <c r="H41" s="643">
        <v>854</v>
      </c>
      <c r="I41" s="886">
        <v>854</v>
      </c>
      <c r="J41" s="886"/>
      <c r="K41" s="642">
        <v>854</v>
      </c>
    </row>
    <row r="42" spans="1:11" ht="16.5" customHeight="1">
      <c r="A42" s="630" t="s">
        <v>661</v>
      </c>
      <c r="B42" s="652" t="s">
        <v>662</v>
      </c>
      <c r="C42" s="885">
        <v>0</v>
      </c>
      <c r="D42" s="885"/>
      <c r="E42" s="885">
        <v>0</v>
      </c>
      <c r="F42" s="885"/>
      <c r="G42" s="642">
        <v>658.7</v>
      </c>
      <c r="H42" s="643">
        <v>215.1</v>
      </c>
      <c r="I42" s="886">
        <v>215.1</v>
      </c>
      <c r="J42" s="886"/>
      <c r="K42" s="642">
        <v>215.1</v>
      </c>
    </row>
    <row r="43" spans="1:11" ht="38.25">
      <c r="A43" s="630" t="s">
        <v>663</v>
      </c>
      <c r="B43" s="653" t="s">
        <v>500</v>
      </c>
      <c r="C43" s="885">
        <v>0</v>
      </c>
      <c r="D43" s="885"/>
      <c r="E43" s="885">
        <v>0</v>
      </c>
      <c r="F43" s="885"/>
      <c r="G43" s="642">
        <v>127.5</v>
      </c>
      <c r="H43" s="643">
        <v>61.5</v>
      </c>
      <c r="I43" s="886">
        <v>41</v>
      </c>
      <c r="J43" s="886"/>
      <c r="K43" s="642">
        <v>41</v>
      </c>
    </row>
    <row r="44" spans="1:11" ht="12.75" customHeight="1">
      <c r="A44" s="630" t="s">
        <v>664</v>
      </c>
      <c r="B44" s="653" t="s">
        <v>666</v>
      </c>
      <c r="C44" s="885">
        <v>0</v>
      </c>
      <c r="D44" s="885"/>
      <c r="E44" s="885">
        <v>0</v>
      </c>
      <c r="F44" s="885"/>
      <c r="G44" s="642">
        <v>250</v>
      </c>
      <c r="H44" s="643">
        <v>66</v>
      </c>
      <c r="I44" s="886">
        <v>66</v>
      </c>
      <c r="J44" s="886"/>
      <c r="K44" s="642">
        <v>66</v>
      </c>
    </row>
    <row r="45" spans="1:11" ht="27" customHeight="1">
      <c r="A45" s="630" t="s">
        <v>665</v>
      </c>
      <c r="B45" s="653" t="s">
        <v>667</v>
      </c>
      <c r="C45" s="885">
        <v>0</v>
      </c>
      <c r="D45" s="885"/>
      <c r="E45" s="885">
        <v>0</v>
      </c>
      <c r="F45" s="885"/>
      <c r="G45" s="642">
        <v>5717.8</v>
      </c>
      <c r="H45" s="643">
        <v>3172.3</v>
      </c>
      <c r="I45" s="886"/>
      <c r="J45" s="886"/>
      <c r="K45" s="642"/>
    </row>
    <row r="46" spans="1:11" ht="24.75" customHeight="1">
      <c r="A46" s="654">
        <v>5</v>
      </c>
      <c r="B46" s="636" t="s">
        <v>958</v>
      </c>
      <c r="C46" s="885">
        <v>0</v>
      </c>
      <c r="D46" s="885"/>
      <c r="E46" s="885">
        <v>0</v>
      </c>
      <c r="F46" s="885"/>
      <c r="G46" s="645">
        <v>0</v>
      </c>
      <c r="H46" s="655">
        <v>0</v>
      </c>
      <c r="I46" s="885">
        <v>0</v>
      </c>
      <c r="J46" s="885"/>
      <c r="K46" s="645">
        <v>0</v>
      </c>
    </row>
    <row r="47" spans="1:11" ht="12.75" customHeight="1" hidden="1">
      <c r="A47" s="630" t="s">
        <v>785</v>
      </c>
      <c r="B47" s="637"/>
      <c r="C47" s="885">
        <v>0</v>
      </c>
      <c r="D47" s="885"/>
      <c r="E47" s="885"/>
      <c r="F47" s="885"/>
      <c r="G47" s="645"/>
      <c r="H47" s="655"/>
      <c r="I47" s="885"/>
      <c r="J47" s="885"/>
      <c r="K47" s="645"/>
    </row>
    <row r="48" spans="1:11" ht="12.75" customHeight="1" hidden="1">
      <c r="A48" s="630"/>
      <c r="B48" s="637"/>
      <c r="C48" s="885"/>
      <c r="D48" s="885"/>
      <c r="E48" s="885"/>
      <c r="F48" s="885"/>
      <c r="G48" s="645"/>
      <c r="H48" s="655"/>
      <c r="I48" s="885"/>
      <c r="J48" s="885"/>
      <c r="K48" s="645"/>
    </row>
    <row r="49" spans="1:11" ht="12.75" customHeight="1" hidden="1">
      <c r="A49" s="654">
        <v>6</v>
      </c>
      <c r="B49" s="636" t="s">
        <v>959</v>
      </c>
      <c r="C49" s="885">
        <v>0</v>
      </c>
      <c r="D49" s="885"/>
      <c r="E49" s="885">
        <v>0</v>
      </c>
      <c r="F49" s="885"/>
      <c r="G49" s="645">
        <v>0</v>
      </c>
      <c r="H49" s="655">
        <v>0</v>
      </c>
      <c r="I49" s="885">
        <v>0</v>
      </c>
      <c r="J49" s="885"/>
      <c r="K49" s="645">
        <v>0</v>
      </c>
    </row>
    <row r="50" spans="1:11" ht="15.75" customHeight="1" hidden="1">
      <c r="A50" s="630" t="s">
        <v>960</v>
      </c>
      <c r="B50" s="637"/>
      <c r="C50" s="885">
        <v>0</v>
      </c>
      <c r="D50" s="885"/>
      <c r="E50" s="885"/>
      <c r="F50" s="885"/>
      <c r="G50" s="645"/>
      <c r="H50" s="655"/>
      <c r="I50" s="885"/>
      <c r="J50" s="885"/>
      <c r="K50" s="645"/>
    </row>
    <row r="51" spans="1:11" ht="15.75" customHeight="1" hidden="1">
      <c r="A51" s="630"/>
      <c r="B51" s="637"/>
      <c r="C51" s="885"/>
      <c r="D51" s="885"/>
      <c r="E51" s="885"/>
      <c r="F51" s="885"/>
      <c r="G51" s="645"/>
      <c r="H51" s="655"/>
      <c r="I51" s="885"/>
      <c r="J51" s="885"/>
      <c r="K51" s="645"/>
    </row>
    <row r="52" spans="1:11" ht="25.5" customHeight="1">
      <c r="A52" s="654">
        <v>7</v>
      </c>
      <c r="B52" s="636" t="s">
        <v>961</v>
      </c>
      <c r="C52" s="885">
        <v>0</v>
      </c>
      <c r="D52" s="885"/>
      <c r="E52" s="885">
        <v>0</v>
      </c>
      <c r="F52" s="885"/>
      <c r="G52" s="645">
        <v>0</v>
      </c>
      <c r="H52" s="655">
        <v>0</v>
      </c>
      <c r="I52" s="885">
        <v>0</v>
      </c>
      <c r="J52" s="885"/>
      <c r="K52" s="645">
        <v>0</v>
      </c>
    </row>
    <row r="53" spans="1:11" ht="14.25" customHeight="1" hidden="1">
      <c r="A53" s="630" t="s">
        <v>962</v>
      </c>
      <c r="B53" s="652"/>
      <c r="C53" s="885">
        <v>0</v>
      </c>
      <c r="D53" s="885"/>
      <c r="E53" s="885"/>
      <c r="F53" s="885"/>
      <c r="G53" s="645"/>
      <c r="H53" s="655"/>
      <c r="I53" s="885"/>
      <c r="J53" s="885"/>
      <c r="K53" s="645"/>
    </row>
    <row r="54" spans="1:11" ht="28.5" customHeight="1" hidden="1">
      <c r="A54" s="473"/>
      <c r="B54" s="473"/>
      <c r="C54" s="473"/>
      <c r="D54" s="473"/>
      <c r="E54" s="473"/>
      <c r="F54" s="473"/>
      <c r="G54" s="473"/>
      <c r="H54" s="473"/>
      <c r="I54" s="473"/>
      <c r="J54" s="473"/>
      <c r="K54" s="473"/>
    </row>
    <row r="55" spans="1:8" ht="15.75">
      <c r="A55" s="469"/>
      <c r="B55" s="470">
        <v>2</v>
      </c>
      <c r="C55" s="469"/>
      <c r="D55" s="913"/>
      <c r="E55" s="913"/>
      <c r="F55" s="913"/>
      <c r="G55" s="913"/>
      <c r="H55" s="470" t="s">
        <v>764</v>
      </c>
    </row>
    <row r="56" spans="1:11" ht="15.75">
      <c r="A56" s="469"/>
      <c r="B56" s="470"/>
      <c r="C56" s="469"/>
      <c r="D56" s="471"/>
      <c r="E56" s="471"/>
      <c r="F56" s="471"/>
      <c r="G56" s="471" t="s">
        <v>975</v>
      </c>
      <c r="H56" s="470"/>
      <c r="I56" s="911" t="s">
        <v>668</v>
      </c>
      <c r="J56" s="911"/>
      <c r="K56" s="911"/>
    </row>
    <row r="57" spans="1:8" ht="12.75" customHeight="1">
      <c r="A57" s="469"/>
      <c r="B57" s="470"/>
      <c r="C57" s="469"/>
      <c r="D57" s="471"/>
      <c r="E57" s="471"/>
      <c r="F57" s="471"/>
      <c r="G57" s="471"/>
      <c r="H57" s="470"/>
    </row>
    <row r="58" spans="1:11" ht="44.25" customHeight="1">
      <c r="A58" s="909" t="s">
        <v>743</v>
      </c>
      <c r="B58" s="916" t="s">
        <v>963</v>
      </c>
      <c r="C58" s="910" t="s">
        <v>964</v>
      </c>
      <c r="D58" s="910" t="s">
        <v>946</v>
      </c>
      <c r="E58" s="910"/>
      <c r="F58" s="910" t="s">
        <v>947</v>
      </c>
      <c r="G58" s="910"/>
      <c r="H58" s="910"/>
      <c r="I58" s="472"/>
      <c r="J58" s="472"/>
      <c r="K58" s="472"/>
    </row>
    <row r="59" spans="1:11" ht="52.5" customHeight="1">
      <c r="A59" s="909"/>
      <c r="B59" s="916"/>
      <c r="C59" s="910"/>
      <c r="D59" s="628" t="s">
        <v>950</v>
      </c>
      <c r="E59" s="628" t="s">
        <v>502</v>
      </c>
      <c r="F59" s="628" t="s">
        <v>503</v>
      </c>
      <c r="G59" s="910" t="s">
        <v>965</v>
      </c>
      <c r="H59" s="910"/>
      <c r="I59" s="472"/>
      <c r="J59" s="472"/>
      <c r="K59" s="472"/>
    </row>
    <row r="60" spans="1:8" ht="12" customHeight="1">
      <c r="A60" s="630">
        <v>1</v>
      </c>
      <c r="B60" s="630">
        <v>2</v>
      </c>
      <c r="C60" s="630">
        <v>3</v>
      </c>
      <c r="D60" s="630">
        <v>4</v>
      </c>
      <c r="E60" s="631">
        <v>5</v>
      </c>
      <c r="F60" s="630">
        <v>6</v>
      </c>
      <c r="G60" s="907">
        <v>7</v>
      </c>
      <c r="H60" s="907"/>
    </row>
    <row r="61" spans="1:11" s="475" customFormat="1" ht="29.25" customHeight="1">
      <c r="A61" s="630">
        <v>8</v>
      </c>
      <c r="B61" s="653" t="s">
        <v>966</v>
      </c>
      <c r="C61" s="631" t="s">
        <v>801</v>
      </c>
      <c r="D61" s="652"/>
      <c r="E61" s="656"/>
      <c r="F61" s="652"/>
      <c r="G61" s="917"/>
      <c r="H61" s="917"/>
      <c r="I61" s="474"/>
      <c r="J61" s="474"/>
      <c r="K61" s="474"/>
    </row>
    <row r="62" spans="1:11" s="476" customFormat="1" ht="12.75" customHeight="1">
      <c r="A62" s="630">
        <v>9</v>
      </c>
      <c r="B62" s="653" t="s">
        <v>967</v>
      </c>
      <c r="C62" s="631"/>
      <c r="D62" s="630"/>
      <c r="E62" s="657"/>
      <c r="F62" s="630"/>
      <c r="G62" s="907"/>
      <c r="H62" s="907"/>
      <c r="I62" s="474"/>
      <c r="J62" s="474"/>
      <c r="K62" s="474"/>
    </row>
    <row r="63" spans="1:8" ht="26.25">
      <c r="A63" s="630">
        <v>10</v>
      </c>
      <c r="B63" s="653" t="s">
        <v>968</v>
      </c>
      <c r="C63" s="631" t="s">
        <v>801</v>
      </c>
      <c r="D63" s="630"/>
      <c r="E63" s="657"/>
      <c r="F63" s="630"/>
      <c r="G63" s="907"/>
      <c r="H63" s="907"/>
    </row>
    <row r="64" spans="1:6" ht="22.5" customHeight="1">
      <c r="A64" s="469"/>
      <c r="B64" s="470"/>
      <c r="C64" s="469"/>
      <c r="D64" s="469"/>
      <c r="E64" s="469"/>
      <c r="F64" s="470" t="s">
        <v>969</v>
      </c>
    </row>
    <row r="65" spans="1:11" ht="45">
      <c r="A65" s="658" t="s">
        <v>743</v>
      </c>
      <c r="B65" s="659" t="s">
        <v>970</v>
      </c>
      <c r="C65" s="884" t="s">
        <v>971</v>
      </c>
      <c r="D65" s="884"/>
      <c r="E65" s="658" t="s">
        <v>766</v>
      </c>
      <c r="F65" s="884" t="s">
        <v>972</v>
      </c>
      <c r="G65" s="884"/>
      <c r="H65" s="475"/>
      <c r="I65" s="475"/>
      <c r="J65" s="475"/>
      <c r="K65" s="475"/>
    </row>
    <row r="66" spans="1:11" ht="15.75">
      <c r="A66" s="918" t="s">
        <v>973</v>
      </c>
      <c r="B66" s="918"/>
      <c r="C66" s="881"/>
      <c r="D66" s="881"/>
      <c r="E66" s="654">
        <f>E67+E68+E69</f>
        <v>0</v>
      </c>
      <c r="F66" s="881">
        <f>F67+F68+F69</f>
        <v>149.7</v>
      </c>
      <c r="G66" s="881"/>
      <c r="H66" s="476"/>
      <c r="I66" s="476"/>
      <c r="J66" s="476"/>
      <c r="K66" s="476"/>
    </row>
    <row r="67" spans="1:11" s="476" customFormat="1" ht="39.75" customHeight="1">
      <c r="A67" s="654"/>
      <c r="B67" s="636" t="s">
        <v>955</v>
      </c>
      <c r="C67" s="881"/>
      <c r="D67" s="881"/>
      <c r="E67" s="654">
        <v>0</v>
      </c>
      <c r="F67" s="881">
        <v>0</v>
      </c>
      <c r="G67" s="881"/>
      <c r="H67" s="474"/>
      <c r="I67" s="474"/>
      <c r="J67" s="474"/>
      <c r="K67" s="474"/>
    </row>
    <row r="68" spans="1:9" ht="24.75" customHeight="1">
      <c r="A68" s="654"/>
      <c r="B68" s="636" t="s">
        <v>956</v>
      </c>
      <c r="C68" s="881"/>
      <c r="D68" s="881"/>
      <c r="E68" s="654">
        <v>0</v>
      </c>
      <c r="F68" s="881">
        <v>149.7</v>
      </c>
      <c r="G68" s="881"/>
      <c r="I68" s="477"/>
    </row>
    <row r="69" spans="1:7" ht="24.75" customHeight="1">
      <c r="A69" s="654"/>
      <c r="B69" s="636" t="s">
        <v>957</v>
      </c>
      <c r="C69" s="881"/>
      <c r="D69" s="881"/>
      <c r="E69" s="654">
        <v>0</v>
      </c>
      <c r="F69" s="881">
        <v>0</v>
      </c>
      <c r="G69" s="881"/>
    </row>
    <row r="70" spans="1:11" ht="16.5" customHeight="1">
      <c r="A70" s="918" t="s">
        <v>974</v>
      </c>
      <c r="B70" s="918"/>
      <c r="C70" s="881"/>
      <c r="D70" s="881"/>
      <c r="E70" s="660">
        <f>E71+E74+E77</f>
        <v>2471.7</v>
      </c>
      <c r="F70" s="882">
        <f>F71+F74+F77</f>
        <v>3060.7</v>
      </c>
      <c r="G70" s="881"/>
      <c r="H70" s="476"/>
      <c r="I70" s="476"/>
      <c r="J70" s="476"/>
      <c r="K70" s="476"/>
    </row>
    <row r="71" spans="1:9" ht="12" customHeight="1">
      <c r="A71" s="661"/>
      <c r="B71" s="662" t="s">
        <v>669</v>
      </c>
      <c r="C71" s="881"/>
      <c r="D71" s="881"/>
      <c r="E71" s="638">
        <v>2462</v>
      </c>
      <c r="F71" s="906">
        <f>F72+F73</f>
        <v>2812.7</v>
      </c>
      <c r="G71" s="906"/>
      <c r="H71" s="883"/>
      <c r="I71" s="883"/>
    </row>
    <row r="72" spans="1:9" ht="25.5">
      <c r="A72" s="654" t="s">
        <v>670</v>
      </c>
      <c r="B72" s="641" t="s">
        <v>633</v>
      </c>
      <c r="C72" s="881"/>
      <c r="D72" s="881"/>
      <c r="E72" s="654">
        <v>12.4</v>
      </c>
      <c r="F72" s="882">
        <v>363.1</v>
      </c>
      <c r="G72" s="882"/>
      <c r="H72" s="883"/>
      <c r="I72" s="883"/>
    </row>
    <row r="73" spans="1:9" ht="21" customHeight="1">
      <c r="A73" s="654" t="s">
        <v>670</v>
      </c>
      <c r="B73" s="641" t="s">
        <v>636</v>
      </c>
      <c r="C73" s="881"/>
      <c r="D73" s="881"/>
      <c r="E73" s="660">
        <f>F73</f>
        <v>2449.6</v>
      </c>
      <c r="F73" s="882">
        <v>2449.6</v>
      </c>
      <c r="G73" s="882"/>
      <c r="H73" s="883"/>
      <c r="I73" s="883"/>
    </row>
    <row r="74" spans="1:11" ht="25.5">
      <c r="A74" s="663"/>
      <c r="B74" s="641" t="s">
        <v>671</v>
      </c>
      <c r="C74" s="881"/>
      <c r="D74" s="881"/>
      <c r="E74" s="654">
        <f>E75+E78</f>
        <v>9.7</v>
      </c>
      <c r="F74" s="882">
        <f>F75+F76</f>
        <v>248</v>
      </c>
      <c r="G74" s="882"/>
      <c r="H74" s="919"/>
      <c r="I74" s="919"/>
      <c r="J74" s="476"/>
      <c r="K74" s="476"/>
    </row>
    <row r="75" spans="1:9" ht="12.75">
      <c r="A75" s="654" t="s">
        <v>670</v>
      </c>
      <c r="B75" s="641" t="s">
        <v>657</v>
      </c>
      <c r="C75" s="881"/>
      <c r="D75" s="881"/>
      <c r="E75" s="654">
        <v>9.7</v>
      </c>
      <c r="F75" s="882">
        <v>0</v>
      </c>
      <c r="G75" s="882"/>
      <c r="H75" s="883"/>
      <c r="I75" s="883"/>
    </row>
    <row r="76" spans="1:9" ht="12.75">
      <c r="A76" s="654"/>
      <c r="B76" s="636" t="s">
        <v>486</v>
      </c>
      <c r="C76" s="920"/>
      <c r="D76" s="921"/>
      <c r="E76" s="654">
        <v>0</v>
      </c>
      <c r="F76" s="922">
        <v>248</v>
      </c>
      <c r="G76" s="923"/>
      <c r="H76" s="478"/>
      <c r="I76" s="478"/>
    </row>
    <row r="77" spans="1:9" ht="25.5">
      <c r="A77" s="661"/>
      <c r="B77" s="636" t="s">
        <v>957</v>
      </c>
      <c r="C77" s="881"/>
      <c r="D77" s="881"/>
      <c r="E77" s="654">
        <v>0</v>
      </c>
      <c r="F77" s="882">
        <v>0</v>
      </c>
      <c r="G77" s="882"/>
      <c r="H77" s="478"/>
      <c r="I77" s="478"/>
    </row>
    <row r="78" spans="1:9" ht="25.5">
      <c r="A78" s="664" t="s">
        <v>670</v>
      </c>
      <c r="B78" s="641" t="s">
        <v>672</v>
      </c>
      <c r="C78" s="881"/>
      <c r="D78" s="881"/>
      <c r="E78" s="640">
        <v>0</v>
      </c>
      <c r="F78" s="882">
        <v>0</v>
      </c>
      <c r="G78" s="882"/>
      <c r="H78" s="924"/>
      <c r="I78" s="924"/>
    </row>
    <row r="79" spans="1:6" ht="15.75">
      <c r="A79" s="469"/>
      <c r="B79" s="469"/>
      <c r="C79" s="469"/>
      <c r="D79" s="469"/>
      <c r="E79" s="469"/>
      <c r="F79" s="469"/>
    </row>
    <row r="80" spans="1:6" ht="15.75">
      <c r="A80" s="479" t="s">
        <v>673</v>
      </c>
      <c r="B80" s="479"/>
      <c r="C80" s="479"/>
      <c r="D80" s="479"/>
      <c r="E80" s="479"/>
      <c r="F80" s="469"/>
    </row>
    <row r="81" spans="1:2" ht="12.75">
      <c r="A81" s="925" t="s">
        <v>674</v>
      </c>
      <c r="B81" s="925"/>
    </row>
  </sheetData>
  <mergeCells count="202">
    <mergeCell ref="C78:D78"/>
    <mergeCell ref="F78:G78"/>
    <mergeCell ref="H78:I78"/>
    <mergeCell ref="A81:B81"/>
    <mergeCell ref="C75:D75"/>
    <mergeCell ref="F75:G75"/>
    <mergeCell ref="H75:I75"/>
    <mergeCell ref="C77:D77"/>
    <mergeCell ref="F77:G77"/>
    <mergeCell ref="C76:D76"/>
    <mergeCell ref="F76:G76"/>
    <mergeCell ref="H73:I73"/>
    <mergeCell ref="C74:D74"/>
    <mergeCell ref="F74:G74"/>
    <mergeCell ref="H74:I74"/>
    <mergeCell ref="C73:D73"/>
    <mergeCell ref="F73:G73"/>
    <mergeCell ref="A66:B66"/>
    <mergeCell ref="A70:B70"/>
    <mergeCell ref="C71:D71"/>
    <mergeCell ref="F71:G71"/>
    <mergeCell ref="C67:D67"/>
    <mergeCell ref="F67:G67"/>
    <mergeCell ref="C68:D68"/>
    <mergeCell ref="F68:G68"/>
    <mergeCell ref="C69:D69"/>
    <mergeCell ref="F69:G69"/>
    <mergeCell ref="G60:H60"/>
    <mergeCell ref="G61:H61"/>
    <mergeCell ref="G62:H62"/>
    <mergeCell ref="G63:H63"/>
    <mergeCell ref="I56:K56"/>
    <mergeCell ref="A58:A59"/>
    <mergeCell ref="B58:B59"/>
    <mergeCell ref="C58:C59"/>
    <mergeCell ref="D58:E58"/>
    <mergeCell ref="F58:H58"/>
    <mergeCell ref="G59:H59"/>
    <mergeCell ref="E53:F53"/>
    <mergeCell ref="I53:J53"/>
    <mergeCell ref="D55:E55"/>
    <mergeCell ref="F55:G55"/>
    <mergeCell ref="C53:D53"/>
    <mergeCell ref="C51:D51"/>
    <mergeCell ref="E51:F51"/>
    <mergeCell ref="I51:J51"/>
    <mergeCell ref="C52:D52"/>
    <mergeCell ref="E52:F52"/>
    <mergeCell ref="I52:J52"/>
    <mergeCell ref="C49:D49"/>
    <mergeCell ref="E49:F49"/>
    <mergeCell ref="I49:J49"/>
    <mergeCell ref="C50:D50"/>
    <mergeCell ref="E50:F50"/>
    <mergeCell ref="I50:J50"/>
    <mergeCell ref="C47:D47"/>
    <mergeCell ref="E47:F47"/>
    <mergeCell ref="I47:J47"/>
    <mergeCell ref="C48:D48"/>
    <mergeCell ref="E48:F48"/>
    <mergeCell ref="I48:J48"/>
    <mergeCell ref="I1:K1"/>
    <mergeCell ref="A3:K3"/>
    <mergeCell ref="C5:E5"/>
    <mergeCell ref="G5:H5"/>
    <mergeCell ref="J5:K5"/>
    <mergeCell ref="G1:H1"/>
    <mergeCell ref="B1:C1"/>
    <mergeCell ref="D1:E1"/>
    <mergeCell ref="A6:A7"/>
    <mergeCell ref="B6:B7"/>
    <mergeCell ref="C6:F6"/>
    <mergeCell ref="G6:H6"/>
    <mergeCell ref="I6:K6"/>
    <mergeCell ref="C7:D7"/>
    <mergeCell ref="E7:F7"/>
    <mergeCell ref="I7:J7"/>
    <mergeCell ref="C8:D8"/>
    <mergeCell ref="E8:F8"/>
    <mergeCell ref="I8:J8"/>
    <mergeCell ref="A9:B9"/>
    <mergeCell ref="C9:D9"/>
    <mergeCell ref="E9:F9"/>
    <mergeCell ref="I9:J9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C13:D13"/>
    <mergeCell ref="E13:F13"/>
    <mergeCell ref="I13:J13"/>
    <mergeCell ref="C14:D14"/>
    <mergeCell ref="E14:F14"/>
    <mergeCell ref="I14:J14"/>
    <mergeCell ref="C15:D15"/>
    <mergeCell ref="E15:F15"/>
    <mergeCell ref="I15:J15"/>
    <mergeCell ref="C16:D16"/>
    <mergeCell ref="E16:F16"/>
    <mergeCell ref="I16:J16"/>
    <mergeCell ref="C17:D17"/>
    <mergeCell ref="E17:F17"/>
    <mergeCell ref="I17:J17"/>
    <mergeCell ref="C18:D18"/>
    <mergeCell ref="E18:F18"/>
    <mergeCell ref="I18:J18"/>
    <mergeCell ref="C19:D19"/>
    <mergeCell ref="E19:F19"/>
    <mergeCell ref="I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7:D27"/>
    <mergeCell ref="E27:F27"/>
    <mergeCell ref="I27:J27"/>
    <mergeCell ref="C28:D28"/>
    <mergeCell ref="E28:F28"/>
    <mergeCell ref="I28:J28"/>
    <mergeCell ref="C29:D29"/>
    <mergeCell ref="E29:F29"/>
    <mergeCell ref="I29:J29"/>
    <mergeCell ref="C30:D30"/>
    <mergeCell ref="E30:F30"/>
    <mergeCell ref="I30:J30"/>
    <mergeCell ref="C31:D31"/>
    <mergeCell ref="E31:F31"/>
    <mergeCell ref="I31:J31"/>
    <mergeCell ref="C32:D32"/>
    <mergeCell ref="E32:F32"/>
    <mergeCell ref="I32:J32"/>
    <mergeCell ref="C33:D33"/>
    <mergeCell ref="E33:F33"/>
    <mergeCell ref="I33:J33"/>
    <mergeCell ref="C34:D34"/>
    <mergeCell ref="E34:F34"/>
    <mergeCell ref="I34:J34"/>
    <mergeCell ref="C35:D35"/>
    <mergeCell ref="E35:F35"/>
    <mergeCell ref="I35:J35"/>
    <mergeCell ref="C36:D36"/>
    <mergeCell ref="E36:F36"/>
    <mergeCell ref="I36:J36"/>
    <mergeCell ref="C38:D38"/>
    <mergeCell ref="E38:F38"/>
    <mergeCell ref="I38:J38"/>
    <mergeCell ref="C39:D39"/>
    <mergeCell ref="E39:F39"/>
    <mergeCell ref="I39:J39"/>
    <mergeCell ref="C40:D40"/>
    <mergeCell ref="E40:F40"/>
    <mergeCell ref="I40:J40"/>
    <mergeCell ref="C41:D41"/>
    <mergeCell ref="E41:F41"/>
    <mergeCell ref="I41:J41"/>
    <mergeCell ref="C42:D42"/>
    <mergeCell ref="E42:F42"/>
    <mergeCell ref="I42:J42"/>
    <mergeCell ref="C43:D43"/>
    <mergeCell ref="E43:F43"/>
    <mergeCell ref="I43:J43"/>
    <mergeCell ref="C44:D44"/>
    <mergeCell ref="E44:F44"/>
    <mergeCell ref="I44:J44"/>
    <mergeCell ref="C45:D45"/>
    <mergeCell ref="E45:F45"/>
    <mergeCell ref="I45:J45"/>
    <mergeCell ref="C46:D46"/>
    <mergeCell ref="E46:F46"/>
    <mergeCell ref="I46:J46"/>
    <mergeCell ref="C65:D65"/>
    <mergeCell ref="F65:G65"/>
    <mergeCell ref="C66:D66"/>
    <mergeCell ref="F66:G66"/>
    <mergeCell ref="C70:D70"/>
    <mergeCell ref="F70:G70"/>
    <mergeCell ref="H71:I71"/>
    <mergeCell ref="C72:D72"/>
    <mergeCell ref="F72:G72"/>
    <mergeCell ref="H72:I72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I10" sqref="I10"/>
    </sheetView>
  </sheetViews>
  <sheetFormatPr defaultColWidth="9.140625" defaultRowHeight="12.75"/>
  <cols>
    <col min="1" max="1" width="4.28125" style="375" customWidth="1"/>
    <col min="2" max="2" width="19.8515625" style="375" customWidth="1"/>
    <col min="3" max="3" width="42.7109375" style="375" customWidth="1"/>
    <col min="4" max="4" width="11.7109375" style="726" customWidth="1"/>
    <col min="5" max="5" width="11.140625" style="3" customWidth="1"/>
    <col min="6" max="6" width="10.8515625" style="3" customWidth="1"/>
    <col min="7" max="16384" width="9.140625" style="3" customWidth="1"/>
  </cols>
  <sheetData>
    <row r="1" spans="5:6" ht="10.5" customHeight="1">
      <c r="E1" s="870"/>
      <c r="F1" s="870"/>
    </row>
    <row r="2" spans="5:6" ht="10.5" customHeight="1">
      <c r="E2" s="263"/>
      <c r="F2" s="263"/>
    </row>
    <row r="3" spans="1:6" s="79" customFormat="1" ht="28.5" customHeight="1">
      <c r="A3" s="928" t="s">
        <v>865</v>
      </c>
      <c r="B3" s="928"/>
      <c r="C3" s="928"/>
      <c r="D3" s="928"/>
      <c r="E3" s="928"/>
      <c r="F3" s="928"/>
    </row>
    <row r="4" spans="1:6" s="79" customFormat="1" ht="13.5" customHeight="1">
      <c r="A4" s="376"/>
      <c r="B4" s="376"/>
      <c r="C4" s="376"/>
      <c r="D4" s="727"/>
      <c r="E4" s="376"/>
      <c r="F4" s="377" t="s">
        <v>790</v>
      </c>
    </row>
    <row r="5" spans="1:6" ht="54" customHeight="1">
      <c r="A5" s="378" t="s">
        <v>381</v>
      </c>
      <c r="B5" s="378"/>
      <c r="C5" s="378" t="s">
        <v>382</v>
      </c>
      <c r="D5" s="728" t="s">
        <v>866</v>
      </c>
      <c r="E5" s="729" t="s">
        <v>383</v>
      </c>
      <c r="F5" s="50" t="s">
        <v>384</v>
      </c>
    </row>
    <row r="6" spans="1:6" ht="12.75" customHeight="1">
      <c r="A6" s="380" t="s">
        <v>385</v>
      </c>
      <c r="B6" s="381" t="s">
        <v>386</v>
      </c>
      <c r="C6" s="137" t="s">
        <v>751</v>
      </c>
      <c r="D6" s="730">
        <f>SUM(D7+D15+D18+D25+D35+D44+D46+D51+D70+D74)</f>
        <v>415485.752</v>
      </c>
      <c r="E6" s="730">
        <f>SUM(E7+E15+E18+E25+E35+E44+E46+E51+E70+E74)</f>
        <v>415485.752</v>
      </c>
      <c r="F6" s="382">
        <f aca="true" t="shared" si="0" ref="F6:F23">SUM(E6/D6*100)</f>
        <v>100</v>
      </c>
    </row>
    <row r="7" spans="1:6" ht="15.75" customHeight="1">
      <c r="A7" s="380" t="s">
        <v>385</v>
      </c>
      <c r="B7" s="381" t="s">
        <v>387</v>
      </c>
      <c r="C7" s="383" t="s">
        <v>73</v>
      </c>
      <c r="D7" s="730">
        <f>SUM(D8)</f>
        <v>236642.2</v>
      </c>
      <c r="E7" s="730">
        <f>SUM(E8)</f>
        <v>236642.2</v>
      </c>
      <c r="F7" s="382">
        <f t="shared" si="0"/>
        <v>100</v>
      </c>
    </row>
    <row r="8" spans="1:6" ht="15" customHeight="1">
      <c r="A8" s="384" t="s">
        <v>385</v>
      </c>
      <c r="B8" s="141" t="s">
        <v>388</v>
      </c>
      <c r="C8" s="146" t="s">
        <v>75</v>
      </c>
      <c r="D8" s="731">
        <f>SUM(D9+D10+D13+D14)</f>
        <v>236642.2</v>
      </c>
      <c r="E8" s="731">
        <f>SUM(E9+E10+E13+E14)</f>
        <v>236642.2</v>
      </c>
      <c r="F8" s="386">
        <f t="shared" si="0"/>
        <v>100</v>
      </c>
    </row>
    <row r="9" spans="1:6" ht="63.75" customHeight="1">
      <c r="A9" s="384" t="s">
        <v>389</v>
      </c>
      <c r="B9" s="141" t="s">
        <v>390</v>
      </c>
      <c r="C9" s="146" t="s">
        <v>391</v>
      </c>
      <c r="D9" s="731">
        <v>2087.9</v>
      </c>
      <c r="E9" s="385">
        <v>2087.9</v>
      </c>
      <c r="F9" s="386">
        <f t="shared" si="0"/>
        <v>100</v>
      </c>
    </row>
    <row r="10" spans="1:6" ht="38.25" customHeight="1">
      <c r="A10" s="384" t="s">
        <v>389</v>
      </c>
      <c r="B10" s="141" t="s">
        <v>392</v>
      </c>
      <c r="C10" s="146" t="s">
        <v>393</v>
      </c>
      <c r="D10" s="731">
        <f>SUM(D11:D12)</f>
        <v>234419.8</v>
      </c>
      <c r="E10" s="731">
        <f>SUM(E11:E12)</f>
        <v>234419.8</v>
      </c>
      <c r="F10" s="386">
        <f t="shared" si="0"/>
        <v>100</v>
      </c>
    </row>
    <row r="11" spans="1:6" ht="104.25" customHeight="1">
      <c r="A11" s="387" t="s">
        <v>389</v>
      </c>
      <c r="B11" s="388" t="s">
        <v>394</v>
      </c>
      <c r="C11" s="389" t="s">
        <v>395</v>
      </c>
      <c r="D11" s="732">
        <v>233508.2</v>
      </c>
      <c r="E11" s="385">
        <v>233508.2</v>
      </c>
      <c r="F11" s="386">
        <f t="shared" si="0"/>
        <v>100</v>
      </c>
    </row>
    <row r="12" spans="1:6" ht="93" customHeight="1">
      <c r="A12" s="384" t="s">
        <v>389</v>
      </c>
      <c r="B12" s="141" t="s">
        <v>396</v>
      </c>
      <c r="C12" s="146" t="s">
        <v>397</v>
      </c>
      <c r="D12" s="731">
        <v>911.6</v>
      </c>
      <c r="E12" s="385">
        <v>911.6</v>
      </c>
      <c r="F12" s="386">
        <f t="shared" si="0"/>
        <v>100</v>
      </c>
    </row>
    <row r="13" spans="1:6" ht="41.25" customHeight="1">
      <c r="A13" s="384" t="s">
        <v>389</v>
      </c>
      <c r="B13" s="141" t="s">
        <v>398</v>
      </c>
      <c r="C13" s="146" t="s">
        <v>399</v>
      </c>
      <c r="D13" s="731">
        <v>79.3</v>
      </c>
      <c r="E13" s="385">
        <v>79.3</v>
      </c>
      <c r="F13" s="386">
        <f t="shared" si="0"/>
        <v>100</v>
      </c>
    </row>
    <row r="14" spans="1:6" ht="99.75" customHeight="1">
      <c r="A14" s="384" t="s">
        <v>389</v>
      </c>
      <c r="B14" s="390" t="s">
        <v>400</v>
      </c>
      <c r="C14" s="85" t="s">
        <v>401</v>
      </c>
      <c r="D14" s="731">
        <v>55.2</v>
      </c>
      <c r="E14" s="385">
        <v>55.2</v>
      </c>
      <c r="F14" s="386">
        <f t="shared" si="0"/>
        <v>100</v>
      </c>
    </row>
    <row r="15" spans="1:6" ht="13.5" customHeight="1">
      <c r="A15" s="380" t="s">
        <v>385</v>
      </c>
      <c r="B15" s="381" t="s">
        <v>402</v>
      </c>
      <c r="C15" s="383" t="s">
        <v>77</v>
      </c>
      <c r="D15" s="730">
        <f>SUM(D16+D17)</f>
        <v>30591.8</v>
      </c>
      <c r="E15" s="730">
        <f>SUM(E16+E17)</f>
        <v>31072.1</v>
      </c>
      <c r="F15" s="382">
        <f t="shared" si="0"/>
        <v>101.6</v>
      </c>
    </row>
    <row r="16" spans="1:6" ht="28.5" customHeight="1">
      <c r="A16" s="384" t="s">
        <v>389</v>
      </c>
      <c r="B16" s="141" t="s">
        <v>403</v>
      </c>
      <c r="C16" s="146" t="s">
        <v>404</v>
      </c>
      <c r="D16" s="731">
        <v>28370</v>
      </c>
      <c r="E16" s="385">
        <v>29141.8</v>
      </c>
      <c r="F16" s="386">
        <f t="shared" si="0"/>
        <v>102.7</v>
      </c>
    </row>
    <row r="17" spans="1:6" ht="14.25" customHeight="1">
      <c r="A17" s="384" t="s">
        <v>389</v>
      </c>
      <c r="B17" s="141" t="s">
        <v>405</v>
      </c>
      <c r="C17" s="146" t="s">
        <v>81</v>
      </c>
      <c r="D17" s="731">
        <v>2221.8</v>
      </c>
      <c r="E17" s="385">
        <v>1930.3</v>
      </c>
      <c r="F17" s="386">
        <f t="shared" si="0"/>
        <v>86.9</v>
      </c>
    </row>
    <row r="18" spans="1:6" ht="14.25" customHeight="1">
      <c r="A18" s="380" t="s">
        <v>385</v>
      </c>
      <c r="B18" s="381" t="s">
        <v>406</v>
      </c>
      <c r="C18" s="383" t="s">
        <v>83</v>
      </c>
      <c r="D18" s="730">
        <f>SUM(D19+D21)</f>
        <v>6281.4</v>
      </c>
      <c r="E18" s="730">
        <f>SUM(E19+E21)</f>
        <v>6281.4</v>
      </c>
      <c r="F18" s="382">
        <f t="shared" si="0"/>
        <v>100</v>
      </c>
    </row>
    <row r="19" spans="1:6" ht="39.75" customHeight="1">
      <c r="A19" s="384" t="s">
        <v>389</v>
      </c>
      <c r="B19" s="141" t="s">
        <v>407</v>
      </c>
      <c r="C19" s="146" t="s">
        <v>408</v>
      </c>
      <c r="D19" s="731">
        <f>SUM(D20)</f>
        <v>3379.9</v>
      </c>
      <c r="E19" s="731">
        <f>SUM(E20)</f>
        <v>3379.9</v>
      </c>
      <c r="F19" s="386">
        <f t="shared" si="0"/>
        <v>100</v>
      </c>
    </row>
    <row r="20" spans="1:6" ht="76.5" customHeight="1">
      <c r="A20" s="384" t="s">
        <v>389</v>
      </c>
      <c r="B20" s="141" t="s">
        <v>409</v>
      </c>
      <c r="C20" s="146" t="s">
        <v>410</v>
      </c>
      <c r="D20" s="731">
        <v>3379.9</v>
      </c>
      <c r="E20" s="385">
        <v>3379.9</v>
      </c>
      <c r="F20" s="386">
        <f t="shared" si="0"/>
        <v>100</v>
      </c>
    </row>
    <row r="21" spans="1:6" ht="39" customHeight="1">
      <c r="A21" s="384" t="s">
        <v>385</v>
      </c>
      <c r="B21" s="141" t="s">
        <v>411</v>
      </c>
      <c r="C21" s="146" t="s">
        <v>412</v>
      </c>
      <c r="D21" s="731">
        <f>SUM(D22:D23)</f>
        <v>2901.5</v>
      </c>
      <c r="E21" s="731">
        <f>SUM(E22:E23)</f>
        <v>2901.5</v>
      </c>
      <c r="F21" s="386">
        <f t="shared" si="0"/>
        <v>100</v>
      </c>
    </row>
    <row r="22" spans="1:6" ht="79.5" customHeight="1">
      <c r="A22" s="384" t="s">
        <v>385</v>
      </c>
      <c r="B22" s="141" t="s">
        <v>413</v>
      </c>
      <c r="C22" s="146" t="s">
        <v>414</v>
      </c>
      <c r="D22" s="731"/>
      <c r="E22" s="731"/>
      <c r="F22" s="386"/>
    </row>
    <row r="23" spans="1:6" ht="105" customHeight="1">
      <c r="A23" s="384" t="s">
        <v>385</v>
      </c>
      <c r="B23" s="141" t="s">
        <v>415</v>
      </c>
      <c r="C23" s="146" t="s">
        <v>416</v>
      </c>
      <c r="D23" s="731">
        <v>2901.5</v>
      </c>
      <c r="E23" s="385">
        <v>2901.5</v>
      </c>
      <c r="F23" s="386">
        <f t="shared" si="0"/>
        <v>100</v>
      </c>
    </row>
    <row r="24" spans="1:6" ht="28.5" customHeight="1">
      <c r="A24" s="384" t="s">
        <v>417</v>
      </c>
      <c r="B24" s="141" t="s">
        <v>418</v>
      </c>
      <c r="C24" s="146" t="s">
        <v>419</v>
      </c>
      <c r="D24" s="731"/>
      <c r="E24" s="385"/>
      <c r="F24" s="382"/>
    </row>
    <row r="25" spans="1:6" ht="27.75" customHeight="1">
      <c r="A25" s="391" t="s">
        <v>385</v>
      </c>
      <c r="B25" s="392" t="s">
        <v>420</v>
      </c>
      <c r="C25" s="393" t="s">
        <v>85</v>
      </c>
      <c r="D25" s="733">
        <f>SUM(D26+D27+D30)</f>
        <v>284.5</v>
      </c>
      <c r="E25" s="733">
        <f>SUM(E26+E27+E30)</f>
        <v>284.5</v>
      </c>
      <c r="F25" s="382">
        <f>SUM(E25/D25*100)</f>
        <v>100</v>
      </c>
    </row>
    <row r="26" spans="1:6" ht="52.5" customHeight="1">
      <c r="A26" s="384" t="s">
        <v>389</v>
      </c>
      <c r="B26" s="141" t="s">
        <v>421</v>
      </c>
      <c r="C26" s="146" t="s">
        <v>422</v>
      </c>
      <c r="D26" s="731">
        <v>118.5</v>
      </c>
      <c r="E26" s="385">
        <v>118.5</v>
      </c>
      <c r="F26" s="386">
        <f aca="true" t="shared" si="1" ref="F26:F69">SUM(E26/D26*100)</f>
        <v>100</v>
      </c>
    </row>
    <row r="27" spans="1:6" ht="15" customHeight="1">
      <c r="A27" s="384" t="s">
        <v>389</v>
      </c>
      <c r="B27" s="141" t="s">
        <v>423</v>
      </c>
      <c r="C27" s="146" t="s">
        <v>86</v>
      </c>
      <c r="D27" s="731">
        <f>SUM(D28)</f>
        <v>91</v>
      </c>
      <c r="E27" s="731">
        <f>SUM(E28)</f>
        <v>91</v>
      </c>
      <c r="F27" s="386">
        <f t="shared" si="1"/>
        <v>100</v>
      </c>
    </row>
    <row r="28" spans="1:6" ht="26.25" customHeight="1">
      <c r="A28" s="384" t="s">
        <v>389</v>
      </c>
      <c r="B28" s="141" t="s">
        <v>424</v>
      </c>
      <c r="C28" s="146" t="s">
        <v>425</v>
      </c>
      <c r="D28" s="731">
        <v>91</v>
      </c>
      <c r="E28" s="385">
        <v>91</v>
      </c>
      <c r="F28" s="386">
        <f t="shared" si="1"/>
        <v>100</v>
      </c>
    </row>
    <row r="29" spans="1:6" ht="22.5" customHeight="1" hidden="1">
      <c r="A29" s="384" t="s">
        <v>389</v>
      </c>
      <c r="B29" s="141" t="s">
        <v>426</v>
      </c>
      <c r="C29" s="146" t="s">
        <v>427</v>
      </c>
      <c r="D29" s="731"/>
      <c r="E29" s="385"/>
      <c r="F29" s="386" t="e">
        <f t="shared" si="1"/>
        <v>#DIV/0!</v>
      </c>
    </row>
    <row r="30" spans="1:6" ht="26.25" customHeight="1">
      <c r="A30" s="384" t="s">
        <v>389</v>
      </c>
      <c r="B30" s="141" t="s">
        <v>428</v>
      </c>
      <c r="C30" s="146" t="s">
        <v>429</v>
      </c>
      <c r="D30" s="731">
        <f>SUM(D32+D33+D34)</f>
        <v>75</v>
      </c>
      <c r="E30" s="731">
        <f>SUM(E32+E33+E34)</f>
        <v>75</v>
      </c>
      <c r="F30" s="386">
        <f t="shared" si="1"/>
        <v>100</v>
      </c>
    </row>
    <row r="31" spans="1:6" ht="15" customHeight="1" hidden="1">
      <c r="A31" s="384" t="s">
        <v>389</v>
      </c>
      <c r="B31" s="141" t="s">
        <v>430</v>
      </c>
      <c r="C31" s="146" t="s">
        <v>431</v>
      </c>
      <c r="D31" s="731"/>
      <c r="E31" s="385"/>
      <c r="F31" s="386" t="e">
        <f t="shared" si="1"/>
        <v>#DIV/0!</v>
      </c>
    </row>
    <row r="32" spans="1:6" ht="25.5" customHeight="1">
      <c r="A32" s="384" t="s">
        <v>389</v>
      </c>
      <c r="B32" s="141" t="s">
        <v>430</v>
      </c>
      <c r="C32" s="146" t="s">
        <v>431</v>
      </c>
      <c r="D32" s="731"/>
      <c r="E32" s="385"/>
      <c r="F32" s="386"/>
    </row>
    <row r="33" spans="1:6" ht="69" customHeight="1">
      <c r="A33" s="384" t="s">
        <v>389</v>
      </c>
      <c r="B33" s="141" t="s">
        <v>432</v>
      </c>
      <c r="C33" s="146" t="s">
        <v>433</v>
      </c>
      <c r="D33" s="731">
        <v>15.5</v>
      </c>
      <c r="E33" s="385">
        <v>15.5</v>
      </c>
      <c r="F33" s="386">
        <f t="shared" si="1"/>
        <v>100</v>
      </c>
    </row>
    <row r="34" spans="1:6" ht="26.25" customHeight="1">
      <c r="A34" s="384" t="s">
        <v>389</v>
      </c>
      <c r="B34" s="141" t="s">
        <v>434</v>
      </c>
      <c r="C34" s="146" t="s">
        <v>435</v>
      </c>
      <c r="D34" s="731">
        <v>59.5</v>
      </c>
      <c r="E34" s="385">
        <v>59.5</v>
      </c>
      <c r="F34" s="386">
        <f t="shared" si="1"/>
        <v>100</v>
      </c>
    </row>
    <row r="35" spans="1:6" ht="38.25" customHeight="1">
      <c r="A35" s="380" t="s">
        <v>385</v>
      </c>
      <c r="B35" s="381" t="s">
        <v>436</v>
      </c>
      <c r="C35" s="383" t="s">
        <v>437</v>
      </c>
      <c r="D35" s="733">
        <f>SUM(D36+D41)</f>
        <v>22057.9</v>
      </c>
      <c r="E35" s="733">
        <f>SUM(E36+E41)</f>
        <v>23628</v>
      </c>
      <c r="F35" s="382">
        <f t="shared" si="1"/>
        <v>107.1</v>
      </c>
    </row>
    <row r="36" spans="1:6" ht="92.25" customHeight="1">
      <c r="A36" s="384" t="s">
        <v>385</v>
      </c>
      <c r="B36" s="141" t="s">
        <v>438</v>
      </c>
      <c r="C36" s="146" t="s">
        <v>439</v>
      </c>
      <c r="D36" s="731">
        <f>SUM(D37+D39)</f>
        <v>21700</v>
      </c>
      <c r="E36" s="731">
        <f>SUM(E37+E39)</f>
        <v>23255.1</v>
      </c>
      <c r="F36" s="386">
        <f t="shared" si="1"/>
        <v>107.2</v>
      </c>
    </row>
    <row r="37" spans="1:6" ht="65.25" customHeight="1">
      <c r="A37" s="384" t="s">
        <v>417</v>
      </c>
      <c r="B37" s="141" t="s">
        <v>440</v>
      </c>
      <c r="C37" s="146" t="s">
        <v>441</v>
      </c>
      <c r="D37" s="731">
        <f>SUM(D38)</f>
        <v>15050</v>
      </c>
      <c r="E37" s="731">
        <f>SUM(E38)</f>
        <v>15050</v>
      </c>
      <c r="F37" s="386">
        <f t="shared" si="1"/>
        <v>100</v>
      </c>
    </row>
    <row r="38" spans="1:6" ht="77.25" customHeight="1">
      <c r="A38" s="384" t="s">
        <v>417</v>
      </c>
      <c r="B38" s="141" t="s">
        <v>442</v>
      </c>
      <c r="C38" s="146" t="s">
        <v>443</v>
      </c>
      <c r="D38" s="731">
        <v>15050</v>
      </c>
      <c r="E38" s="385">
        <v>15050</v>
      </c>
      <c r="F38" s="386">
        <f t="shared" si="1"/>
        <v>100</v>
      </c>
    </row>
    <row r="39" spans="1:6" ht="83.25" customHeight="1">
      <c r="A39" s="384" t="s">
        <v>417</v>
      </c>
      <c r="B39" s="141" t="s">
        <v>444</v>
      </c>
      <c r="C39" s="146" t="s">
        <v>445</v>
      </c>
      <c r="D39" s="731">
        <f>SUM(D40)</f>
        <v>6650</v>
      </c>
      <c r="E39" s="731">
        <f>SUM(E40)</f>
        <v>8205.1</v>
      </c>
      <c r="F39" s="386">
        <f t="shared" si="1"/>
        <v>123.4</v>
      </c>
    </row>
    <row r="40" spans="1:6" ht="64.5" customHeight="1">
      <c r="A40" s="384" t="s">
        <v>417</v>
      </c>
      <c r="B40" s="141" t="s">
        <v>446</v>
      </c>
      <c r="C40" s="146" t="s">
        <v>447</v>
      </c>
      <c r="D40" s="731">
        <v>6650</v>
      </c>
      <c r="E40" s="385">
        <v>8205.1</v>
      </c>
      <c r="F40" s="386">
        <f t="shared" si="1"/>
        <v>123.4</v>
      </c>
    </row>
    <row r="41" spans="1:6" ht="26.25" customHeight="1">
      <c r="A41" s="384" t="s">
        <v>417</v>
      </c>
      <c r="B41" s="141" t="s">
        <v>448</v>
      </c>
      <c r="C41" s="146" t="s">
        <v>449</v>
      </c>
      <c r="D41" s="731">
        <f>SUM(D42)</f>
        <v>357.9</v>
      </c>
      <c r="E41" s="731">
        <f>SUM(E42)</f>
        <v>372.9</v>
      </c>
      <c r="F41" s="386">
        <f t="shared" si="1"/>
        <v>104.2</v>
      </c>
    </row>
    <row r="42" spans="1:6" ht="53.25" customHeight="1">
      <c r="A42" s="384" t="s">
        <v>417</v>
      </c>
      <c r="B42" s="141" t="s">
        <v>450</v>
      </c>
      <c r="C42" s="146" t="s">
        <v>457</v>
      </c>
      <c r="D42" s="731">
        <f>SUM(D43)</f>
        <v>357.9</v>
      </c>
      <c r="E42" s="731">
        <f>SUM(E43)</f>
        <v>372.9</v>
      </c>
      <c r="F42" s="386">
        <f t="shared" si="1"/>
        <v>104.2</v>
      </c>
    </row>
    <row r="43" spans="1:6" ht="66" customHeight="1">
      <c r="A43" s="384" t="s">
        <v>417</v>
      </c>
      <c r="B43" s="141" t="s">
        <v>458</v>
      </c>
      <c r="C43" s="146" t="s">
        <v>92</v>
      </c>
      <c r="D43" s="731">
        <v>357.9</v>
      </c>
      <c r="E43" s="385">
        <v>372.9</v>
      </c>
      <c r="F43" s="386">
        <f t="shared" si="1"/>
        <v>104.2</v>
      </c>
    </row>
    <row r="44" spans="1:6" ht="17.25" customHeight="1">
      <c r="A44" s="380" t="s">
        <v>385</v>
      </c>
      <c r="B44" s="381" t="s">
        <v>459</v>
      </c>
      <c r="C44" s="383" t="s">
        <v>95</v>
      </c>
      <c r="D44" s="730">
        <f>SUM(D45)</f>
        <v>3376</v>
      </c>
      <c r="E44" s="730">
        <f>SUM(E45)</f>
        <v>4376</v>
      </c>
      <c r="F44" s="382">
        <f t="shared" si="1"/>
        <v>129.6</v>
      </c>
    </row>
    <row r="45" spans="1:6" ht="26.25" customHeight="1">
      <c r="A45" s="384" t="s">
        <v>385</v>
      </c>
      <c r="B45" s="141" t="s">
        <v>460</v>
      </c>
      <c r="C45" s="146" t="s">
        <v>97</v>
      </c>
      <c r="D45" s="731">
        <v>3376</v>
      </c>
      <c r="E45" s="385">
        <v>4376</v>
      </c>
      <c r="F45" s="386">
        <f t="shared" si="1"/>
        <v>129.6</v>
      </c>
    </row>
    <row r="46" spans="1:6" ht="27" customHeight="1">
      <c r="A46" s="380" t="s">
        <v>417</v>
      </c>
      <c r="B46" s="381" t="s">
        <v>461</v>
      </c>
      <c r="C46" s="383" t="s">
        <v>462</v>
      </c>
      <c r="D46" s="730">
        <f>SUM(D47+D49)</f>
        <v>112185</v>
      </c>
      <c r="E46" s="730">
        <f>SUM(E47+E49)</f>
        <v>108766.5</v>
      </c>
      <c r="F46" s="382">
        <f t="shared" si="1"/>
        <v>97</v>
      </c>
    </row>
    <row r="47" spans="1:6" ht="78" customHeight="1">
      <c r="A47" s="384" t="s">
        <v>417</v>
      </c>
      <c r="B47" s="141" t="s">
        <v>463</v>
      </c>
      <c r="C47" s="146" t="s">
        <v>464</v>
      </c>
      <c r="D47" s="731">
        <f>SUM(D48)</f>
        <v>13685</v>
      </c>
      <c r="E47" s="385">
        <f>SUM(E48)</f>
        <v>13685</v>
      </c>
      <c r="F47" s="386">
        <f t="shared" si="1"/>
        <v>100</v>
      </c>
    </row>
    <row r="48" spans="1:6" ht="101.25" customHeight="1">
      <c r="A48" s="384" t="s">
        <v>417</v>
      </c>
      <c r="B48" s="141" t="s">
        <v>465</v>
      </c>
      <c r="C48" s="146" t="s">
        <v>103</v>
      </c>
      <c r="D48" s="731">
        <v>13685</v>
      </c>
      <c r="E48" s="385">
        <v>13685</v>
      </c>
      <c r="F48" s="386">
        <f t="shared" si="1"/>
        <v>100</v>
      </c>
    </row>
    <row r="49" spans="1:6" ht="82.5" customHeight="1">
      <c r="A49" s="384" t="s">
        <v>417</v>
      </c>
      <c r="B49" s="141" t="s">
        <v>466</v>
      </c>
      <c r="C49" s="146" t="s">
        <v>467</v>
      </c>
      <c r="D49" s="731">
        <f>SUM(D50)</f>
        <v>98500</v>
      </c>
      <c r="E49" s="731">
        <f>SUM(E50)</f>
        <v>95081.5</v>
      </c>
      <c r="F49" s="386">
        <f t="shared" si="1"/>
        <v>96.5</v>
      </c>
    </row>
    <row r="50" spans="1:6" ht="49.5" customHeight="1">
      <c r="A50" s="384" t="s">
        <v>417</v>
      </c>
      <c r="B50" s="141" t="s">
        <v>468</v>
      </c>
      <c r="C50" s="146" t="s">
        <v>469</v>
      </c>
      <c r="D50" s="731">
        <v>98500</v>
      </c>
      <c r="E50" s="385">
        <v>95081.5</v>
      </c>
      <c r="F50" s="386">
        <f t="shared" si="1"/>
        <v>96.5</v>
      </c>
    </row>
    <row r="51" spans="1:6" ht="15" customHeight="1">
      <c r="A51" s="380" t="s">
        <v>385</v>
      </c>
      <c r="B51" s="381" t="s">
        <v>470</v>
      </c>
      <c r="C51" s="383" t="s">
        <v>107</v>
      </c>
      <c r="D51" s="730">
        <f>SUM(D52+D55+D56+D57+D58+D60+D65+D67+D68+D66)</f>
        <v>6188.1</v>
      </c>
      <c r="E51" s="730">
        <f>SUM(E52+E55+E56+E57+E58+E60+E65+E67+E68+E66)</f>
        <v>6188.1</v>
      </c>
      <c r="F51" s="382">
        <f t="shared" si="1"/>
        <v>100</v>
      </c>
    </row>
    <row r="52" spans="1:6" ht="25.5" customHeight="1">
      <c r="A52" s="384" t="s">
        <v>385</v>
      </c>
      <c r="B52" s="141" t="s">
        <v>471</v>
      </c>
      <c r="C52" s="146" t="s">
        <v>472</v>
      </c>
      <c r="D52" s="734">
        <f>SUM(D53:D54)</f>
        <v>272.6</v>
      </c>
      <c r="E52" s="734">
        <f>SUM(E53:E54)</f>
        <v>272.6</v>
      </c>
      <c r="F52" s="386">
        <f t="shared" si="1"/>
        <v>100</v>
      </c>
    </row>
    <row r="53" spans="1:6" ht="78" customHeight="1">
      <c r="A53" s="384" t="s">
        <v>389</v>
      </c>
      <c r="B53" s="141" t="s">
        <v>473</v>
      </c>
      <c r="C53" s="146" t="s">
        <v>474</v>
      </c>
      <c r="D53" s="731">
        <v>243.3</v>
      </c>
      <c r="E53" s="385">
        <v>243.3</v>
      </c>
      <c r="F53" s="386">
        <f t="shared" si="1"/>
        <v>100</v>
      </c>
    </row>
    <row r="54" spans="1:6" ht="65.25" customHeight="1">
      <c r="A54" s="384" t="s">
        <v>389</v>
      </c>
      <c r="B54" s="141" t="s">
        <v>475</v>
      </c>
      <c r="C54" s="146" t="s">
        <v>476</v>
      </c>
      <c r="D54" s="731">
        <v>29.3</v>
      </c>
      <c r="E54" s="385">
        <v>29.3</v>
      </c>
      <c r="F54" s="386">
        <f t="shared" si="1"/>
        <v>100</v>
      </c>
    </row>
    <row r="55" spans="1:6" ht="66.75" customHeight="1">
      <c r="A55" s="384" t="s">
        <v>385</v>
      </c>
      <c r="B55" s="141" t="s">
        <v>477</v>
      </c>
      <c r="C55" s="146" t="s">
        <v>478</v>
      </c>
      <c r="D55" s="734">
        <v>723.4</v>
      </c>
      <c r="E55" s="385">
        <v>723.4</v>
      </c>
      <c r="F55" s="386">
        <f t="shared" si="1"/>
        <v>100</v>
      </c>
    </row>
    <row r="56" spans="1:6" ht="65.25" customHeight="1">
      <c r="A56" s="384" t="s">
        <v>385</v>
      </c>
      <c r="B56" s="141" t="s">
        <v>479</v>
      </c>
      <c r="C56" s="146" t="s">
        <v>480</v>
      </c>
      <c r="D56" s="734">
        <v>121</v>
      </c>
      <c r="E56" s="385">
        <v>121</v>
      </c>
      <c r="F56" s="386">
        <f t="shared" si="1"/>
        <v>100</v>
      </c>
    </row>
    <row r="57" spans="1:6" ht="39" customHeight="1">
      <c r="A57" s="384" t="s">
        <v>385</v>
      </c>
      <c r="B57" s="141" t="s">
        <v>481</v>
      </c>
      <c r="C57" s="146" t="s">
        <v>482</v>
      </c>
      <c r="D57" s="734"/>
      <c r="E57" s="385"/>
      <c r="F57" s="382"/>
    </row>
    <row r="58" spans="1:6" ht="42" customHeight="1">
      <c r="A58" s="384" t="s">
        <v>385</v>
      </c>
      <c r="B58" s="141" t="s">
        <v>483</v>
      </c>
      <c r="C58" s="146" t="s">
        <v>504</v>
      </c>
      <c r="D58" s="734">
        <f>SUM(D59)</f>
        <v>16.1</v>
      </c>
      <c r="E58" s="385">
        <v>16.1</v>
      </c>
      <c r="F58" s="386">
        <f t="shared" si="1"/>
        <v>100</v>
      </c>
    </row>
    <row r="59" spans="1:6" ht="53.25" customHeight="1">
      <c r="A59" s="384" t="s">
        <v>385</v>
      </c>
      <c r="B59" s="141" t="s">
        <v>505</v>
      </c>
      <c r="C59" s="146" t="s">
        <v>506</v>
      </c>
      <c r="D59" s="731">
        <v>16.1</v>
      </c>
      <c r="E59" s="385">
        <v>16.1</v>
      </c>
      <c r="F59" s="386">
        <f t="shared" si="1"/>
        <v>100</v>
      </c>
    </row>
    <row r="60" spans="1:6" ht="93.75" customHeight="1">
      <c r="A60" s="384" t="s">
        <v>385</v>
      </c>
      <c r="B60" s="141" t="s">
        <v>507</v>
      </c>
      <c r="C60" s="146" t="s">
        <v>508</v>
      </c>
      <c r="D60" s="734">
        <f>SUM(D61:D64)</f>
        <v>350.5</v>
      </c>
      <c r="E60" s="734">
        <f>SUM(E61:E64)</f>
        <v>350.5</v>
      </c>
      <c r="F60" s="386">
        <f t="shared" si="1"/>
        <v>100</v>
      </c>
    </row>
    <row r="61" spans="1:6" ht="26.25" customHeight="1">
      <c r="A61" s="384" t="s">
        <v>385</v>
      </c>
      <c r="B61" s="141" t="s">
        <v>509</v>
      </c>
      <c r="C61" s="146" t="s">
        <v>510</v>
      </c>
      <c r="D61" s="734"/>
      <c r="E61" s="385"/>
      <c r="F61" s="382"/>
    </row>
    <row r="62" spans="1:6" ht="39" customHeight="1">
      <c r="A62" s="384" t="s">
        <v>385</v>
      </c>
      <c r="B62" s="141" t="s">
        <v>511</v>
      </c>
      <c r="C62" s="146" t="s">
        <v>512</v>
      </c>
      <c r="D62" s="731">
        <v>144.7</v>
      </c>
      <c r="E62" s="385">
        <v>144.7</v>
      </c>
      <c r="F62" s="386">
        <f t="shared" si="1"/>
        <v>100</v>
      </c>
    </row>
    <row r="63" spans="1:6" ht="39" customHeight="1">
      <c r="A63" s="384" t="s">
        <v>385</v>
      </c>
      <c r="B63" s="141" t="s">
        <v>513</v>
      </c>
      <c r="C63" s="146" t="s">
        <v>514</v>
      </c>
      <c r="D63" s="731">
        <v>158.1</v>
      </c>
      <c r="E63" s="385">
        <v>158.1</v>
      </c>
      <c r="F63" s="386">
        <f t="shared" si="1"/>
        <v>100</v>
      </c>
    </row>
    <row r="64" spans="1:6" ht="30" customHeight="1">
      <c r="A64" s="384" t="s">
        <v>385</v>
      </c>
      <c r="B64" s="141" t="s">
        <v>515</v>
      </c>
      <c r="C64" s="146" t="s">
        <v>516</v>
      </c>
      <c r="D64" s="731">
        <v>47.7</v>
      </c>
      <c r="E64" s="385">
        <v>47.7</v>
      </c>
      <c r="F64" s="386">
        <f t="shared" si="1"/>
        <v>100</v>
      </c>
    </row>
    <row r="65" spans="1:6" ht="26.25" customHeight="1">
      <c r="A65" s="384" t="s">
        <v>385</v>
      </c>
      <c r="B65" s="141" t="s">
        <v>517</v>
      </c>
      <c r="C65" s="146" t="s">
        <v>518</v>
      </c>
      <c r="D65" s="734">
        <v>98.1</v>
      </c>
      <c r="E65" s="385">
        <v>98.1</v>
      </c>
      <c r="F65" s="386">
        <f t="shared" si="1"/>
        <v>100</v>
      </c>
    </row>
    <row r="66" spans="1:6" ht="51" customHeight="1">
      <c r="A66" s="384" t="s">
        <v>385</v>
      </c>
      <c r="B66" s="141" t="s">
        <v>519</v>
      </c>
      <c r="C66" s="146" t="s">
        <v>520</v>
      </c>
      <c r="D66" s="734">
        <v>293.4</v>
      </c>
      <c r="E66" s="385">
        <v>293.4</v>
      </c>
      <c r="F66" s="386">
        <f t="shared" si="1"/>
        <v>100</v>
      </c>
    </row>
    <row r="67" spans="1:6" ht="39.75" customHeight="1">
      <c r="A67" s="384" t="s">
        <v>385</v>
      </c>
      <c r="B67" s="141" t="s">
        <v>521</v>
      </c>
      <c r="C67" s="146" t="s">
        <v>522</v>
      </c>
      <c r="D67" s="734">
        <v>2275.1</v>
      </c>
      <c r="E67" s="385">
        <v>2275.1</v>
      </c>
      <c r="F67" s="386">
        <f t="shared" si="1"/>
        <v>100</v>
      </c>
    </row>
    <row r="68" spans="1:6" ht="25.5" customHeight="1">
      <c r="A68" s="384" t="s">
        <v>385</v>
      </c>
      <c r="B68" s="141" t="s">
        <v>523</v>
      </c>
      <c r="C68" s="146" t="s">
        <v>524</v>
      </c>
      <c r="D68" s="734">
        <f>SUM(D69)</f>
        <v>2037.9</v>
      </c>
      <c r="E68" s="734">
        <f>SUM(E69)</f>
        <v>2037.9</v>
      </c>
      <c r="F68" s="386">
        <f t="shared" si="1"/>
        <v>100</v>
      </c>
    </row>
    <row r="69" spans="1:6" ht="38.25" customHeight="1">
      <c r="A69" s="384" t="s">
        <v>385</v>
      </c>
      <c r="B69" s="141" t="s">
        <v>525</v>
      </c>
      <c r="C69" s="146" t="s">
        <v>526</v>
      </c>
      <c r="D69" s="731">
        <v>2037.9</v>
      </c>
      <c r="E69" s="385">
        <v>2037.9</v>
      </c>
      <c r="F69" s="386">
        <f t="shared" si="1"/>
        <v>100</v>
      </c>
    </row>
    <row r="70" spans="1:6" ht="13.5" customHeight="1">
      <c r="A70" s="391" t="s">
        <v>385</v>
      </c>
      <c r="B70" s="392" t="s">
        <v>527</v>
      </c>
      <c r="C70" s="393" t="s">
        <v>109</v>
      </c>
      <c r="D70" s="733">
        <f>SUM(D71:D72)</f>
        <v>30</v>
      </c>
      <c r="E70" s="733">
        <f>SUM(E71:E72)</f>
        <v>403.8</v>
      </c>
      <c r="F70" s="382">
        <f>SUM(E70/D70*100)</f>
        <v>1346</v>
      </c>
    </row>
    <row r="71" spans="1:6" s="8" customFormat="1" ht="13.5" customHeight="1">
      <c r="A71" s="394" t="s">
        <v>528</v>
      </c>
      <c r="B71" s="395" t="s">
        <v>529</v>
      </c>
      <c r="C71" s="396" t="s">
        <v>109</v>
      </c>
      <c r="D71" s="734"/>
      <c r="E71" s="397"/>
      <c r="F71" s="382"/>
    </row>
    <row r="72" spans="1:6" ht="15" customHeight="1">
      <c r="A72" s="384" t="s">
        <v>385</v>
      </c>
      <c r="B72" s="141" t="s">
        <v>530</v>
      </c>
      <c r="C72" s="146" t="s">
        <v>109</v>
      </c>
      <c r="D72" s="731">
        <f>SUM(D73)</f>
        <v>30</v>
      </c>
      <c r="E72" s="731">
        <f>SUM(E73)</f>
        <v>403.8</v>
      </c>
      <c r="F72" s="386">
        <f aca="true" t="shared" si="2" ref="F72:F82">SUM(E72/D72*100)</f>
        <v>1346</v>
      </c>
    </row>
    <row r="73" spans="1:6" ht="25.5" customHeight="1">
      <c r="A73" s="384" t="s">
        <v>385</v>
      </c>
      <c r="B73" s="141" t="s">
        <v>531</v>
      </c>
      <c r="C73" s="141" t="s">
        <v>532</v>
      </c>
      <c r="D73" s="731">
        <v>30</v>
      </c>
      <c r="E73" s="385">
        <v>403.8</v>
      </c>
      <c r="F73" s="386">
        <f t="shared" si="2"/>
        <v>1346</v>
      </c>
    </row>
    <row r="74" spans="1:6" ht="24" customHeight="1">
      <c r="A74" s="398" t="s">
        <v>385</v>
      </c>
      <c r="B74" s="398" t="s">
        <v>533</v>
      </c>
      <c r="C74" s="399" t="s">
        <v>118</v>
      </c>
      <c r="D74" s="733">
        <f>SUM(D75)</f>
        <v>-2151.148</v>
      </c>
      <c r="E74" s="733">
        <f>SUM(E75)</f>
        <v>-2156.848</v>
      </c>
      <c r="F74" s="382">
        <f t="shared" si="2"/>
        <v>100.3</v>
      </c>
    </row>
    <row r="75" spans="1:6" ht="26.25" customHeight="1">
      <c r="A75" s="400" t="s">
        <v>385</v>
      </c>
      <c r="B75" s="400" t="s">
        <v>534</v>
      </c>
      <c r="C75" s="401" t="s">
        <v>535</v>
      </c>
      <c r="D75" s="731">
        <v>-2151.148</v>
      </c>
      <c r="E75" s="735">
        <v>-2156.848</v>
      </c>
      <c r="F75" s="386">
        <f t="shared" si="2"/>
        <v>100.3</v>
      </c>
    </row>
    <row r="76" spans="1:6" ht="18.75" customHeight="1">
      <c r="A76" s="398" t="s">
        <v>385</v>
      </c>
      <c r="B76" s="398" t="s">
        <v>536</v>
      </c>
      <c r="C76" s="399" t="s">
        <v>537</v>
      </c>
      <c r="D76" s="733">
        <f>SUM(D77)</f>
        <v>15000</v>
      </c>
      <c r="E76" s="733">
        <f>SUM(E77)</f>
        <v>15000</v>
      </c>
      <c r="F76" s="382">
        <f t="shared" si="2"/>
        <v>100</v>
      </c>
    </row>
    <row r="77" spans="1:6" ht="26.25" customHeight="1">
      <c r="A77" s="400" t="s">
        <v>385</v>
      </c>
      <c r="B77" s="400" t="s">
        <v>538</v>
      </c>
      <c r="C77" s="401" t="s">
        <v>539</v>
      </c>
      <c r="D77" s="731">
        <v>15000</v>
      </c>
      <c r="E77" s="385">
        <v>15000</v>
      </c>
      <c r="F77" s="386">
        <f t="shared" si="2"/>
        <v>100</v>
      </c>
    </row>
    <row r="78" spans="1:6" ht="25.5" customHeight="1">
      <c r="A78" s="398" t="s">
        <v>385</v>
      </c>
      <c r="B78" s="398" t="s">
        <v>540</v>
      </c>
      <c r="C78" s="399" t="s">
        <v>541</v>
      </c>
      <c r="D78" s="733">
        <f>SUM(D79:D81)</f>
        <v>60138.328</v>
      </c>
      <c r="E78" s="733">
        <f>SUM(E79:E81)</f>
        <v>60138.328</v>
      </c>
      <c r="F78" s="382">
        <f t="shared" si="2"/>
        <v>100</v>
      </c>
    </row>
    <row r="79" spans="1:6" ht="37.5" customHeight="1">
      <c r="A79" s="400" t="s">
        <v>385</v>
      </c>
      <c r="B79" s="400" t="s">
        <v>542</v>
      </c>
      <c r="C79" s="401" t="s">
        <v>543</v>
      </c>
      <c r="D79" s="731">
        <v>41224.935</v>
      </c>
      <c r="E79" s="735">
        <v>41224.935</v>
      </c>
      <c r="F79" s="386">
        <f t="shared" si="2"/>
        <v>100</v>
      </c>
    </row>
    <row r="80" spans="1:6" ht="50.25" customHeight="1">
      <c r="A80" s="400" t="s">
        <v>385</v>
      </c>
      <c r="B80" s="400" t="s">
        <v>544</v>
      </c>
      <c r="C80" s="401" t="s">
        <v>545</v>
      </c>
      <c r="D80" s="731">
        <v>2500</v>
      </c>
      <c r="E80" s="735">
        <v>2500</v>
      </c>
      <c r="F80" s="386">
        <f t="shared" si="2"/>
        <v>100</v>
      </c>
    </row>
    <row r="81" spans="1:6" ht="37.5" customHeight="1">
      <c r="A81" s="400" t="s">
        <v>385</v>
      </c>
      <c r="B81" s="400" t="s">
        <v>546</v>
      </c>
      <c r="C81" s="401" t="s">
        <v>867</v>
      </c>
      <c r="D81" s="731">
        <v>16413.393</v>
      </c>
      <c r="E81" s="735">
        <v>16413.393</v>
      </c>
      <c r="F81" s="386">
        <f t="shared" si="2"/>
        <v>100</v>
      </c>
    </row>
    <row r="82" spans="1:6" ht="12.75">
      <c r="A82" s="400"/>
      <c r="B82" s="400"/>
      <c r="C82" s="398" t="s">
        <v>547</v>
      </c>
      <c r="D82" s="733">
        <f>SUM(D78+D76+D6)</f>
        <v>490624.08</v>
      </c>
      <c r="E82" s="733">
        <f>SUM(E78+E76+E6)</f>
        <v>490624.08</v>
      </c>
      <c r="F82" s="382">
        <f t="shared" si="2"/>
        <v>100</v>
      </c>
    </row>
    <row r="83" ht="32.25" customHeight="1">
      <c r="F83" s="402"/>
    </row>
    <row r="84" spans="1:7" ht="12.75">
      <c r="A84" s="926" t="s">
        <v>868</v>
      </c>
      <c r="B84" s="926"/>
      <c r="C84" s="926"/>
      <c r="D84" s="926"/>
      <c r="E84" s="926"/>
      <c r="F84" s="926"/>
      <c r="G84" s="927"/>
    </row>
    <row r="88" ht="12.75">
      <c r="D88" s="736"/>
    </row>
  </sheetData>
  <mergeCells count="3">
    <mergeCell ref="A84:G84"/>
    <mergeCell ref="E1:F1"/>
    <mergeCell ref="A3:F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47">
      <selection activeCell="A105" sqref="A105:F105"/>
    </sheetView>
  </sheetViews>
  <sheetFormatPr defaultColWidth="9.140625" defaultRowHeight="12.75"/>
  <cols>
    <col min="1" max="1" width="21.28125" style="0" customWidth="1"/>
    <col min="2" max="2" width="37.28125" style="0" customWidth="1"/>
    <col min="3" max="3" width="9.28125" style="0" customWidth="1"/>
    <col min="4" max="4" width="9.57421875" style="0" customWidth="1"/>
    <col min="5" max="5" width="7.57421875" style="0" bestFit="1" customWidth="1"/>
    <col min="6" max="6" width="9.8515625" style="0" customWidth="1"/>
    <col min="7" max="7" width="9.140625" style="8" customWidth="1"/>
  </cols>
  <sheetData>
    <row r="1" spans="2:6" ht="12.75">
      <c r="B1">
        <v>3016.6</v>
      </c>
      <c r="D1" s="705" t="s">
        <v>935</v>
      </c>
      <c r="E1" s="705"/>
      <c r="F1" s="457"/>
    </row>
    <row r="3" spans="1:6" ht="33" customHeight="1">
      <c r="A3" s="706" t="s">
        <v>605</v>
      </c>
      <c r="B3" s="706"/>
      <c r="C3" s="706"/>
      <c r="D3" s="706"/>
      <c r="E3" s="706"/>
      <c r="F3" s="706"/>
    </row>
    <row r="4" spans="1:6" ht="18.75" customHeight="1">
      <c r="A4" s="707" t="s">
        <v>548</v>
      </c>
      <c r="B4" s="707"/>
      <c r="C4" s="707"/>
      <c r="D4" s="707"/>
      <c r="E4" s="707"/>
      <c r="F4" s="707"/>
    </row>
    <row r="5" spans="1:6" ht="12.75">
      <c r="A5" s="152"/>
      <c r="B5" s="403"/>
      <c r="C5" s="263"/>
      <c r="D5" s="264"/>
      <c r="E5" s="708" t="s">
        <v>549</v>
      </c>
      <c r="F5" s="708"/>
    </row>
    <row r="6" spans="1:6" ht="25.5">
      <c r="A6" s="404" t="s">
        <v>381</v>
      </c>
      <c r="B6" s="405" t="s">
        <v>550</v>
      </c>
      <c r="C6" s="406" t="s">
        <v>981</v>
      </c>
      <c r="D6" s="407" t="s">
        <v>551</v>
      </c>
      <c r="E6" s="408" t="s">
        <v>552</v>
      </c>
      <c r="F6" s="405" t="s">
        <v>553</v>
      </c>
    </row>
    <row r="7" spans="1:6" ht="15.75" customHeight="1">
      <c r="A7" s="409" t="s">
        <v>71</v>
      </c>
      <c r="B7" s="410" t="s">
        <v>751</v>
      </c>
      <c r="C7" s="411">
        <f>C8+C10+C13+C15+C21+C23+C27+C28+C14+C34</f>
        <v>135605</v>
      </c>
      <c r="D7" s="411">
        <f>D8+D10+D13+D15+D21+D23+D27+D28+D14+D34</f>
        <v>179678.4</v>
      </c>
      <c r="E7" s="411">
        <f aca="true" t="shared" si="0" ref="E7:E15">D7/C7*100</f>
        <v>132.5</v>
      </c>
      <c r="F7" s="411">
        <f aca="true" t="shared" si="1" ref="F7:F20">D7-C7</f>
        <v>44073.4</v>
      </c>
    </row>
    <row r="8" spans="1:6" ht="15" customHeight="1">
      <c r="A8" s="409" t="s">
        <v>72</v>
      </c>
      <c r="B8" s="410" t="s">
        <v>73</v>
      </c>
      <c r="C8" s="411">
        <f>C9</f>
        <v>82878.1</v>
      </c>
      <c r="D8" s="412">
        <f>D9</f>
        <v>112562.9</v>
      </c>
      <c r="E8" s="411">
        <f t="shared" si="0"/>
        <v>135.8</v>
      </c>
      <c r="F8" s="411">
        <f t="shared" si="1"/>
        <v>29684.8</v>
      </c>
    </row>
    <row r="9" spans="1:6" ht="14.25" customHeight="1">
      <c r="A9" s="413" t="s">
        <v>74</v>
      </c>
      <c r="B9" s="414" t="s">
        <v>75</v>
      </c>
      <c r="C9" s="415">
        <v>82878.1</v>
      </c>
      <c r="D9" s="416">
        <v>112562.9</v>
      </c>
      <c r="E9" s="415">
        <f t="shared" si="0"/>
        <v>135.8</v>
      </c>
      <c r="F9" s="415">
        <f t="shared" si="1"/>
        <v>29684.8</v>
      </c>
    </row>
    <row r="10" spans="1:6" ht="14.25" customHeight="1">
      <c r="A10" s="409" t="s">
        <v>76</v>
      </c>
      <c r="B10" s="410" t="s">
        <v>77</v>
      </c>
      <c r="C10" s="411">
        <f>C11+C12</f>
        <v>14448.4</v>
      </c>
      <c r="D10" s="412">
        <f>D11+D12</f>
        <v>14928.6</v>
      </c>
      <c r="E10" s="411">
        <f t="shared" si="0"/>
        <v>103.3</v>
      </c>
      <c r="F10" s="411">
        <f t="shared" si="1"/>
        <v>480.2</v>
      </c>
    </row>
    <row r="11" spans="1:6" ht="25.5">
      <c r="A11" s="417" t="s">
        <v>78</v>
      </c>
      <c r="B11" s="414" t="s">
        <v>554</v>
      </c>
      <c r="C11" s="415">
        <v>13135.3</v>
      </c>
      <c r="D11" s="418">
        <v>13907.1</v>
      </c>
      <c r="E11" s="415">
        <f t="shared" si="0"/>
        <v>105.9</v>
      </c>
      <c r="F11" s="415">
        <f t="shared" si="1"/>
        <v>771.8</v>
      </c>
    </row>
    <row r="12" spans="1:6" ht="15" customHeight="1">
      <c r="A12" s="413" t="s">
        <v>79</v>
      </c>
      <c r="B12" s="414" t="s">
        <v>81</v>
      </c>
      <c r="C12" s="415">
        <v>1313.1</v>
      </c>
      <c r="D12" s="416">
        <v>1021.5</v>
      </c>
      <c r="E12" s="415">
        <f t="shared" si="0"/>
        <v>77.8</v>
      </c>
      <c r="F12" s="415">
        <f t="shared" si="1"/>
        <v>-291.6</v>
      </c>
    </row>
    <row r="13" spans="1:6" ht="14.25" customHeight="1">
      <c r="A13" s="409" t="s">
        <v>82</v>
      </c>
      <c r="B13" s="419" t="s">
        <v>83</v>
      </c>
      <c r="C13" s="411">
        <v>3016.6</v>
      </c>
      <c r="D13" s="420">
        <v>3027.1</v>
      </c>
      <c r="E13" s="411">
        <f t="shared" si="0"/>
        <v>100.3</v>
      </c>
      <c r="F13" s="411">
        <f t="shared" si="1"/>
        <v>10.5</v>
      </c>
    </row>
    <row r="14" spans="1:6" ht="38.25">
      <c r="A14" s="421" t="s">
        <v>84</v>
      </c>
      <c r="B14" s="410" t="s">
        <v>85</v>
      </c>
      <c r="C14" s="411">
        <v>142</v>
      </c>
      <c r="D14" s="412">
        <v>39</v>
      </c>
      <c r="E14" s="411">
        <f t="shared" si="0"/>
        <v>27.5</v>
      </c>
      <c r="F14" s="411">
        <f t="shared" si="1"/>
        <v>-103</v>
      </c>
    </row>
    <row r="15" spans="1:6" ht="38.25">
      <c r="A15" s="421" t="s">
        <v>87</v>
      </c>
      <c r="B15" s="410" t="s">
        <v>88</v>
      </c>
      <c r="C15" s="411">
        <f>C19+C20+C16+C17+C18</f>
        <v>6989</v>
      </c>
      <c r="D15" s="411">
        <f>D19+D20+D16+D17+D18</f>
        <v>15324.9</v>
      </c>
      <c r="E15" s="411">
        <f t="shared" si="0"/>
        <v>219.3</v>
      </c>
      <c r="F15" s="411">
        <f t="shared" si="1"/>
        <v>8335.9</v>
      </c>
    </row>
    <row r="16" spans="1:6" ht="25.5" hidden="1">
      <c r="A16" s="417" t="s">
        <v>555</v>
      </c>
      <c r="B16" s="414" t="s">
        <v>559</v>
      </c>
      <c r="C16" s="415"/>
      <c r="D16" s="416"/>
      <c r="E16" s="411"/>
      <c r="F16" s="422">
        <f t="shared" si="1"/>
        <v>0</v>
      </c>
    </row>
    <row r="17" spans="1:6" ht="65.25" customHeight="1">
      <c r="A17" s="417" t="s">
        <v>89</v>
      </c>
      <c r="B17" s="414" t="s">
        <v>560</v>
      </c>
      <c r="C17" s="415">
        <v>3306.1</v>
      </c>
      <c r="D17" s="418">
        <v>10071.9</v>
      </c>
      <c r="E17" s="415">
        <f>D17/C17*100</f>
        <v>304.6</v>
      </c>
      <c r="F17" s="415">
        <f t="shared" si="1"/>
        <v>6765.8</v>
      </c>
    </row>
    <row r="18" spans="1:6" ht="38.25">
      <c r="A18" s="417" t="s">
        <v>90</v>
      </c>
      <c r="B18" s="414" t="s">
        <v>561</v>
      </c>
      <c r="C18" s="415">
        <v>3325</v>
      </c>
      <c r="D18" s="418">
        <v>4880.1</v>
      </c>
      <c r="E18" s="415">
        <f>D18/C18*100</f>
        <v>146.8</v>
      </c>
      <c r="F18" s="415">
        <f t="shared" si="1"/>
        <v>1555.1</v>
      </c>
    </row>
    <row r="19" spans="1:6" ht="63.75">
      <c r="A19" s="144" t="s">
        <v>91</v>
      </c>
      <c r="B19" s="146" t="s">
        <v>92</v>
      </c>
      <c r="C19" s="415">
        <v>357.9</v>
      </c>
      <c r="D19" s="418">
        <v>372.9</v>
      </c>
      <c r="E19" s="415">
        <f>D19/C19*100</f>
        <v>104.2</v>
      </c>
      <c r="F19" s="415">
        <f t="shared" si="1"/>
        <v>15</v>
      </c>
    </row>
    <row r="20" spans="1:6" ht="38.25" hidden="1">
      <c r="A20" s="144" t="s">
        <v>562</v>
      </c>
      <c r="B20" s="146" t="s">
        <v>93</v>
      </c>
      <c r="C20" s="415"/>
      <c r="D20" s="418"/>
      <c r="E20" s="415"/>
      <c r="F20" s="415">
        <f t="shared" si="1"/>
        <v>0</v>
      </c>
    </row>
    <row r="21" spans="1:6" ht="25.5">
      <c r="A21" s="421" t="s">
        <v>94</v>
      </c>
      <c r="B21" s="410" t="s">
        <v>95</v>
      </c>
      <c r="C21" s="411">
        <f>C22</f>
        <v>1596.8</v>
      </c>
      <c r="D21" s="412">
        <f>D22</f>
        <v>3936</v>
      </c>
      <c r="E21" s="411">
        <f>E22</f>
        <v>246.5</v>
      </c>
      <c r="F21" s="411">
        <f>F22</f>
        <v>2339.2</v>
      </c>
    </row>
    <row r="22" spans="1:6" ht="25.5">
      <c r="A22" s="417" t="s">
        <v>96</v>
      </c>
      <c r="B22" s="414" t="s">
        <v>97</v>
      </c>
      <c r="C22" s="415">
        <v>1596.8</v>
      </c>
      <c r="D22" s="418">
        <v>3936</v>
      </c>
      <c r="E22" s="415">
        <f>D22/C22*100</f>
        <v>246.5</v>
      </c>
      <c r="F22" s="415">
        <f aca="true" t="shared" si="2" ref="F22:F34">D22-C22</f>
        <v>2339.2</v>
      </c>
    </row>
    <row r="23" spans="1:6" ht="25.5">
      <c r="A23" s="145" t="s">
        <v>98</v>
      </c>
      <c r="B23" s="137" t="s">
        <v>99</v>
      </c>
      <c r="C23" s="138">
        <f>C25+C26+C24</f>
        <v>25872.7</v>
      </c>
      <c r="D23" s="138">
        <f>D25+D26+D24</f>
        <v>27466.9</v>
      </c>
      <c r="E23" s="415">
        <f>D23/C23*100</f>
        <v>106.2</v>
      </c>
      <c r="F23" s="411">
        <f t="shared" si="2"/>
        <v>1594.2</v>
      </c>
    </row>
    <row r="24" spans="1:6" ht="25.5">
      <c r="A24" s="144" t="s">
        <v>100</v>
      </c>
      <c r="B24" s="147" t="s">
        <v>101</v>
      </c>
      <c r="C24" s="138"/>
      <c r="D24" s="418">
        <v>1354.3</v>
      </c>
      <c r="E24" s="415"/>
      <c r="F24" s="415">
        <f t="shared" si="2"/>
        <v>1354.3</v>
      </c>
    </row>
    <row r="25" spans="1:6" ht="40.5" customHeight="1">
      <c r="A25" s="144" t="s">
        <v>102</v>
      </c>
      <c r="B25" s="141" t="s">
        <v>451</v>
      </c>
      <c r="C25" s="142">
        <v>164.2</v>
      </c>
      <c r="D25" s="418">
        <v>4586.4</v>
      </c>
      <c r="E25" s="415"/>
      <c r="F25" s="415">
        <f t="shared" si="2"/>
        <v>4422.2</v>
      </c>
    </row>
    <row r="26" spans="1:6" ht="40.5" customHeight="1">
      <c r="A26" s="144" t="s">
        <v>104</v>
      </c>
      <c r="B26" s="141" t="s">
        <v>105</v>
      </c>
      <c r="C26" s="142">
        <v>25708.5</v>
      </c>
      <c r="D26" s="418">
        <v>21526.2</v>
      </c>
      <c r="E26" s="422">
        <f>D26/C26*100</f>
        <v>83.7</v>
      </c>
      <c r="F26" s="415">
        <f t="shared" si="2"/>
        <v>-4182.3</v>
      </c>
    </row>
    <row r="27" spans="1:6" ht="15" customHeight="1">
      <c r="A27" s="409" t="s">
        <v>106</v>
      </c>
      <c r="B27" s="410" t="s">
        <v>107</v>
      </c>
      <c r="C27" s="411">
        <v>2797.5</v>
      </c>
      <c r="D27" s="412">
        <v>3486.7</v>
      </c>
      <c r="E27" s="411">
        <f>D27/C27*100</f>
        <v>124.6</v>
      </c>
      <c r="F27" s="411">
        <f t="shared" si="2"/>
        <v>689.2</v>
      </c>
    </row>
    <row r="28" spans="1:6" ht="16.5" customHeight="1">
      <c r="A28" s="409" t="s">
        <v>108</v>
      </c>
      <c r="B28" s="410" t="s">
        <v>109</v>
      </c>
      <c r="C28" s="412">
        <f>C30+C31+C29+C32</f>
        <v>15</v>
      </c>
      <c r="D28" s="412">
        <f>D30+D31+D29+D32+D33</f>
        <v>1051</v>
      </c>
      <c r="E28" s="411">
        <f>D28/C28*100</f>
        <v>7006.7</v>
      </c>
      <c r="F28" s="411">
        <f t="shared" si="2"/>
        <v>1036</v>
      </c>
    </row>
    <row r="29" spans="1:6" ht="15" customHeight="1">
      <c r="A29" s="413" t="s">
        <v>110</v>
      </c>
      <c r="B29" s="414" t="s">
        <v>111</v>
      </c>
      <c r="C29" s="415"/>
      <c r="D29" s="416">
        <v>637.6</v>
      </c>
      <c r="E29" s="415"/>
      <c r="F29" s="415">
        <f t="shared" si="2"/>
        <v>637.6</v>
      </c>
    </row>
    <row r="30" spans="1:6" ht="38.25" hidden="1">
      <c r="A30" s="417" t="s">
        <v>112</v>
      </c>
      <c r="B30" s="414" t="s">
        <v>113</v>
      </c>
      <c r="C30" s="415"/>
      <c r="D30" s="418"/>
      <c r="E30" s="415"/>
      <c r="F30" s="415">
        <f t="shared" si="2"/>
        <v>0</v>
      </c>
    </row>
    <row r="31" spans="1:6" ht="14.25" customHeight="1">
      <c r="A31" s="413" t="s">
        <v>114</v>
      </c>
      <c r="B31" s="414" t="s">
        <v>109</v>
      </c>
      <c r="C31" s="415">
        <v>15</v>
      </c>
      <c r="D31" s="418">
        <v>388.8</v>
      </c>
      <c r="E31" s="415">
        <f>D31/C31*100</f>
        <v>2592</v>
      </c>
      <c r="F31" s="415">
        <f t="shared" si="2"/>
        <v>373.8</v>
      </c>
    </row>
    <row r="32" spans="1:6" ht="52.5" customHeight="1" hidden="1">
      <c r="A32" s="413" t="s">
        <v>115</v>
      </c>
      <c r="B32" s="414" t="s">
        <v>116</v>
      </c>
      <c r="C32" s="415"/>
      <c r="D32" s="418"/>
      <c r="E32" s="415"/>
      <c r="F32" s="415">
        <f t="shared" si="2"/>
        <v>0</v>
      </c>
    </row>
    <row r="33" spans="1:6" ht="51">
      <c r="A33" s="413" t="s">
        <v>115</v>
      </c>
      <c r="B33" s="414" t="s">
        <v>116</v>
      </c>
      <c r="C33" s="415"/>
      <c r="D33" s="418">
        <v>24.6</v>
      </c>
      <c r="E33" s="415"/>
      <c r="F33" s="415">
        <f t="shared" si="2"/>
        <v>24.6</v>
      </c>
    </row>
    <row r="34" spans="1:6" ht="25.5">
      <c r="A34" s="421" t="s">
        <v>117</v>
      </c>
      <c r="B34" s="410" t="s">
        <v>118</v>
      </c>
      <c r="C34" s="411">
        <v>-2151.1</v>
      </c>
      <c r="D34" s="420">
        <v>-2144.7</v>
      </c>
      <c r="E34" s="415">
        <f>D34/C34*100</f>
        <v>99.7</v>
      </c>
      <c r="F34" s="415">
        <f t="shared" si="2"/>
        <v>6.4</v>
      </c>
    </row>
    <row r="35" spans="1:6" ht="27.75" customHeight="1">
      <c r="A35" s="404" t="s">
        <v>381</v>
      </c>
      <c r="B35" s="51" t="s">
        <v>550</v>
      </c>
      <c r="C35" s="406" t="s">
        <v>981</v>
      </c>
      <c r="D35" s="407" t="s">
        <v>551</v>
      </c>
      <c r="E35" s="408" t="s">
        <v>552</v>
      </c>
      <c r="F35" s="405" t="s">
        <v>553</v>
      </c>
    </row>
    <row r="36" spans="1:6" ht="12.75">
      <c r="A36" s="148" t="s">
        <v>119</v>
      </c>
      <c r="B36" s="149" t="s">
        <v>120</v>
      </c>
      <c r="C36" s="138">
        <v>507268.8</v>
      </c>
      <c r="D36" s="138">
        <v>477490.1</v>
      </c>
      <c r="E36" s="423">
        <f>D36/C36*100</f>
        <v>94.1</v>
      </c>
      <c r="F36" s="415">
        <f aca="true" t="shared" si="3" ref="F36:F46">D36-C36</f>
        <v>-29778.7</v>
      </c>
    </row>
    <row r="37" spans="1:6" ht="13.5" customHeight="1">
      <c r="A37" s="139" t="s">
        <v>121</v>
      </c>
      <c r="B37" s="141" t="s">
        <v>122</v>
      </c>
      <c r="C37" s="142">
        <v>183997.9</v>
      </c>
      <c r="D37" s="143">
        <v>183997.9</v>
      </c>
      <c r="E37" s="415">
        <f>D37/C37*100</f>
        <v>100</v>
      </c>
      <c r="F37" s="415">
        <f t="shared" si="3"/>
        <v>0</v>
      </c>
    </row>
    <row r="38" spans="1:6" ht="13.5" customHeight="1">
      <c r="A38" s="139" t="s">
        <v>123</v>
      </c>
      <c r="B38" s="141" t="s">
        <v>124</v>
      </c>
      <c r="C38" s="142">
        <v>27618</v>
      </c>
      <c r="D38" s="143">
        <v>26002.5</v>
      </c>
      <c r="E38" s="415">
        <f>D38/C38*100</f>
        <v>94.2</v>
      </c>
      <c r="F38" s="415">
        <f t="shared" si="3"/>
        <v>-1615.5</v>
      </c>
    </row>
    <row r="39" spans="1:6" ht="12.75" hidden="1">
      <c r="A39" s="139" t="s">
        <v>125</v>
      </c>
      <c r="B39" s="141" t="s">
        <v>126</v>
      </c>
      <c r="C39" s="142">
        <v>92050.6</v>
      </c>
      <c r="D39" s="143">
        <v>90173.1</v>
      </c>
      <c r="E39" s="415"/>
      <c r="F39" s="415">
        <f t="shared" si="3"/>
        <v>-1877.5</v>
      </c>
    </row>
    <row r="40" spans="1:6" ht="15" customHeight="1">
      <c r="A40" s="139" t="s">
        <v>127</v>
      </c>
      <c r="B40" s="141" t="s">
        <v>128</v>
      </c>
      <c r="C40" s="142">
        <v>17926.4</v>
      </c>
      <c r="D40" s="143">
        <v>17926.4</v>
      </c>
      <c r="E40" s="415">
        <f aca="true" t="shared" si="4" ref="E40:E46">D40/C40*100</f>
        <v>100</v>
      </c>
      <c r="F40" s="415">
        <f t="shared" si="3"/>
        <v>0</v>
      </c>
    </row>
    <row r="41" spans="1:6" ht="16.5" customHeight="1">
      <c r="A41" s="139" t="s">
        <v>129</v>
      </c>
      <c r="B41" s="141" t="s">
        <v>130</v>
      </c>
      <c r="C41" s="142">
        <v>15000</v>
      </c>
      <c r="D41" s="143"/>
      <c r="E41" s="415">
        <f t="shared" si="4"/>
        <v>0</v>
      </c>
      <c r="F41" s="415">
        <f t="shared" si="3"/>
        <v>-15000</v>
      </c>
    </row>
    <row r="42" spans="1:6" ht="41.25" customHeight="1">
      <c r="A42" s="421" t="s">
        <v>131</v>
      </c>
      <c r="B42" s="410" t="s">
        <v>132</v>
      </c>
      <c r="C42" s="411">
        <f>C43+C45+C44</f>
        <v>39205.1</v>
      </c>
      <c r="D42" s="412">
        <f>D43+D45+D44</f>
        <v>36277.5</v>
      </c>
      <c r="E42" s="411">
        <f t="shared" si="4"/>
        <v>92.5</v>
      </c>
      <c r="F42" s="415">
        <f t="shared" si="3"/>
        <v>-2927.6</v>
      </c>
    </row>
    <row r="43" spans="1:6" ht="12.75" customHeight="1">
      <c r="A43" s="413" t="s">
        <v>133</v>
      </c>
      <c r="B43" s="414" t="s">
        <v>134</v>
      </c>
      <c r="C43" s="415">
        <v>24468.2</v>
      </c>
      <c r="D43" s="418">
        <v>23234.7</v>
      </c>
      <c r="E43" s="415">
        <f t="shared" si="4"/>
        <v>95</v>
      </c>
      <c r="F43" s="415">
        <f t="shared" si="3"/>
        <v>-1233.5</v>
      </c>
    </row>
    <row r="44" spans="1:6" ht="25.5">
      <c r="A44" s="417" t="s">
        <v>135</v>
      </c>
      <c r="B44" s="414" t="s">
        <v>136</v>
      </c>
      <c r="C44" s="415">
        <v>2164.1</v>
      </c>
      <c r="D44" s="418">
        <v>2639.3</v>
      </c>
      <c r="E44" s="415">
        <f t="shared" si="4"/>
        <v>122</v>
      </c>
      <c r="F44" s="415">
        <f t="shared" si="3"/>
        <v>475.2</v>
      </c>
    </row>
    <row r="45" spans="1:6" ht="13.5" customHeight="1">
      <c r="A45" s="413" t="s">
        <v>137</v>
      </c>
      <c r="B45" s="414" t="s">
        <v>130</v>
      </c>
      <c r="C45" s="415">
        <v>12572.8</v>
      </c>
      <c r="D45" s="418">
        <v>10403.5</v>
      </c>
      <c r="E45" s="415">
        <f t="shared" si="4"/>
        <v>82.7</v>
      </c>
      <c r="F45" s="415">
        <f t="shared" si="3"/>
        <v>-2169.3</v>
      </c>
    </row>
    <row r="46" spans="1:6" ht="12.75">
      <c r="A46" s="413"/>
      <c r="B46" s="410" t="s">
        <v>563</v>
      </c>
      <c r="C46" s="411">
        <f>C42+C36+C7</f>
        <v>682078.9</v>
      </c>
      <c r="D46" s="412">
        <f>D42+D36+D7</f>
        <v>693446</v>
      </c>
      <c r="E46" s="411">
        <f t="shared" si="4"/>
        <v>101.7</v>
      </c>
      <c r="F46" s="415">
        <f t="shared" si="3"/>
        <v>11367.1</v>
      </c>
    </row>
    <row r="47" spans="1:6" ht="37.5" customHeight="1">
      <c r="A47" s="709" t="s">
        <v>564</v>
      </c>
      <c r="B47" s="709"/>
      <c r="C47" s="709"/>
      <c r="D47" s="709"/>
      <c r="E47" s="709"/>
      <c r="F47" s="709"/>
    </row>
    <row r="48" spans="1:6" ht="12.75">
      <c r="A48" s="424" t="s">
        <v>138</v>
      </c>
      <c r="B48" s="425" t="s">
        <v>139</v>
      </c>
      <c r="C48" s="426">
        <f>SUM(C49:C57)</f>
        <v>36822.1</v>
      </c>
      <c r="D48" s="426">
        <f>SUM(D49:D57)</f>
        <v>34083.2</v>
      </c>
      <c r="E48" s="427">
        <f aca="true" t="shared" si="5" ref="E48:E55">D48/C48*100</f>
        <v>92.6</v>
      </c>
      <c r="F48" s="427">
        <f aca="true" t="shared" si="6" ref="F48:F62">D48-C48</f>
        <v>-2738.9</v>
      </c>
    </row>
    <row r="49" spans="1:6" ht="38.25">
      <c r="A49" s="428" t="s">
        <v>140</v>
      </c>
      <c r="B49" s="429" t="s">
        <v>565</v>
      </c>
      <c r="C49" s="430">
        <v>843.4</v>
      </c>
      <c r="D49" s="430">
        <v>843.3</v>
      </c>
      <c r="E49" s="415">
        <f t="shared" si="5"/>
        <v>100</v>
      </c>
      <c r="F49" s="415">
        <f t="shared" si="6"/>
        <v>-0.1</v>
      </c>
    </row>
    <row r="50" spans="1:6" ht="51.75" customHeight="1">
      <c r="A50" s="428" t="s">
        <v>141</v>
      </c>
      <c r="B50" s="429" t="s">
        <v>587</v>
      </c>
      <c r="C50" s="430">
        <v>2438.5</v>
      </c>
      <c r="D50" s="415">
        <v>2372.6</v>
      </c>
      <c r="E50" s="415">
        <f t="shared" si="5"/>
        <v>97.3</v>
      </c>
      <c r="F50" s="415">
        <f t="shared" si="6"/>
        <v>-65.9</v>
      </c>
    </row>
    <row r="51" spans="1:6" ht="38.25">
      <c r="A51" s="428" t="s">
        <v>142</v>
      </c>
      <c r="B51" s="429" t="s">
        <v>588</v>
      </c>
      <c r="C51" s="430">
        <v>12398.7</v>
      </c>
      <c r="D51" s="430">
        <v>12356</v>
      </c>
      <c r="E51" s="415">
        <f t="shared" si="5"/>
        <v>99.7</v>
      </c>
      <c r="F51" s="415">
        <f t="shared" si="6"/>
        <v>-42.7</v>
      </c>
    </row>
    <row r="52" spans="1:6" ht="12.75">
      <c r="A52" s="428" t="s">
        <v>143</v>
      </c>
      <c r="B52" s="429" t="s">
        <v>144</v>
      </c>
      <c r="C52" s="430">
        <v>9.6</v>
      </c>
      <c r="D52" s="430"/>
      <c r="E52" s="415">
        <f t="shared" si="5"/>
        <v>0</v>
      </c>
      <c r="F52" s="415">
        <f t="shared" si="6"/>
        <v>-9.6</v>
      </c>
    </row>
    <row r="53" spans="1:6" ht="25.5">
      <c r="A53" s="428" t="s">
        <v>145</v>
      </c>
      <c r="B53" s="429" t="s">
        <v>589</v>
      </c>
      <c r="C53" s="430">
        <v>8374.1</v>
      </c>
      <c r="D53" s="430">
        <v>8177.1</v>
      </c>
      <c r="E53" s="415">
        <f t="shared" si="5"/>
        <v>97.6</v>
      </c>
      <c r="F53" s="415">
        <f t="shared" si="6"/>
        <v>-197</v>
      </c>
    </row>
    <row r="54" spans="1:6" ht="25.5">
      <c r="A54" s="428" t="s">
        <v>146</v>
      </c>
      <c r="B54" s="429" t="s">
        <v>590</v>
      </c>
      <c r="C54" s="430">
        <v>434.5</v>
      </c>
      <c r="D54" s="430">
        <v>428.9</v>
      </c>
      <c r="E54" s="415">
        <f t="shared" si="5"/>
        <v>98.7</v>
      </c>
      <c r="F54" s="415">
        <f t="shared" si="6"/>
        <v>-5.6</v>
      </c>
    </row>
    <row r="55" spans="1:6" ht="12.75">
      <c r="A55" s="428" t="s">
        <v>1020</v>
      </c>
      <c r="B55" s="429" t="s">
        <v>566</v>
      </c>
      <c r="C55" s="430">
        <v>200</v>
      </c>
      <c r="D55" s="430">
        <v>0</v>
      </c>
      <c r="E55" s="415">
        <f t="shared" si="5"/>
        <v>0</v>
      </c>
      <c r="F55" s="415">
        <f t="shared" si="6"/>
        <v>-200</v>
      </c>
    </row>
    <row r="56" spans="1:6" ht="12.75">
      <c r="A56" s="431" t="s">
        <v>147</v>
      </c>
      <c r="B56" s="429" t="s">
        <v>148</v>
      </c>
      <c r="C56" s="430">
        <v>440</v>
      </c>
      <c r="D56" s="430">
        <v>0</v>
      </c>
      <c r="E56" s="415">
        <v>0</v>
      </c>
      <c r="F56" s="415">
        <f t="shared" si="6"/>
        <v>-440</v>
      </c>
    </row>
    <row r="57" spans="1:6" ht="12.75">
      <c r="A57" s="431" t="s">
        <v>149</v>
      </c>
      <c r="B57" s="429" t="s">
        <v>150</v>
      </c>
      <c r="C57" s="430">
        <v>11683.3</v>
      </c>
      <c r="D57" s="430">
        <v>9905.3</v>
      </c>
      <c r="E57" s="415">
        <f>D57/C57*100</f>
        <v>84.8</v>
      </c>
      <c r="F57" s="415">
        <f t="shared" si="6"/>
        <v>-1778</v>
      </c>
    </row>
    <row r="58" spans="1:6" ht="25.5">
      <c r="A58" s="432" t="s">
        <v>151</v>
      </c>
      <c r="B58" s="410" t="s">
        <v>152</v>
      </c>
      <c r="C58" s="433">
        <f>C59+C62+C64+C61</f>
        <v>49442.9</v>
      </c>
      <c r="D58" s="433">
        <f>D59+D62+D64+D61</f>
        <v>39603.8</v>
      </c>
      <c r="E58" s="411">
        <f>D58/C58*100</f>
        <v>80.1</v>
      </c>
      <c r="F58" s="411">
        <f t="shared" si="6"/>
        <v>-9839.1</v>
      </c>
    </row>
    <row r="59" spans="1:6" ht="12.75">
      <c r="A59" s="431" t="s">
        <v>153</v>
      </c>
      <c r="B59" s="429" t="s">
        <v>154</v>
      </c>
      <c r="C59" s="430">
        <v>43801.4</v>
      </c>
      <c r="D59" s="430">
        <v>34390.8</v>
      </c>
      <c r="E59" s="415">
        <f>D59/C59*100</f>
        <v>78.5</v>
      </c>
      <c r="F59" s="415">
        <f t="shared" si="6"/>
        <v>-9410.6</v>
      </c>
    </row>
    <row r="60" spans="1:6" ht="38.25" hidden="1">
      <c r="A60" s="431" t="s">
        <v>155</v>
      </c>
      <c r="B60" s="429" t="s">
        <v>570</v>
      </c>
      <c r="C60" s="430"/>
      <c r="D60" s="430"/>
      <c r="E60" s="415" t="e">
        <f>D60/C60*100</f>
        <v>#DIV/0!</v>
      </c>
      <c r="F60" s="415">
        <f t="shared" si="6"/>
        <v>0</v>
      </c>
    </row>
    <row r="61" spans="1:6" ht="38.25">
      <c r="A61" s="431" t="s">
        <v>155</v>
      </c>
      <c r="B61" s="429" t="s">
        <v>570</v>
      </c>
      <c r="C61" s="430">
        <v>2632</v>
      </c>
      <c r="D61" s="430">
        <v>2545</v>
      </c>
      <c r="E61" s="415">
        <v>96.7</v>
      </c>
      <c r="F61" s="415">
        <f t="shared" si="6"/>
        <v>-87</v>
      </c>
    </row>
    <row r="62" spans="1:6" ht="26.25" customHeight="1">
      <c r="A62" s="431" t="s">
        <v>156</v>
      </c>
      <c r="B62" s="429" t="s">
        <v>571</v>
      </c>
      <c r="C62" s="430">
        <v>3000</v>
      </c>
      <c r="D62" s="430">
        <v>2668</v>
      </c>
      <c r="E62" s="415">
        <f>D62/C62*100</f>
        <v>88.9</v>
      </c>
      <c r="F62" s="415">
        <f t="shared" si="6"/>
        <v>-332</v>
      </c>
    </row>
    <row r="63" spans="1:6" ht="38.25" hidden="1">
      <c r="A63" s="431" t="s">
        <v>572</v>
      </c>
      <c r="B63" s="429" t="s">
        <v>158</v>
      </c>
      <c r="C63" s="430"/>
      <c r="D63" s="430"/>
      <c r="E63" s="415"/>
      <c r="F63" s="415"/>
    </row>
    <row r="64" spans="1:6" ht="27" customHeight="1">
      <c r="A64" s="428" t="s">
        <v>157</v>
      </c>
      <c r="B64" s="429" t="s">
        <v>573</v>
      </c>
      <c r="C64" s="430">
        <v>9.5</v>
      </c>
      <c r="D64" s="430"/>
      <c r="E64" s="415">
        <f>D64/C64*100</f>
        <v>0</v>
      </c>
      <c r="F64" s="415">
        <f aca="true" t="shared" si="7" ref="F64:F76">D64-C64</f>
        <v>-9.5</v>
      </c>
    </row>
    <row r="65" spans="1:6" ht="12.75">
      <c r="A65" s="434" t="s">
        <v>159</v>
      </c>
      <c r="B65" s="410" t="s">
        <v>58</v>
      </c>
      <c r="C65" s="433">
        <f>C66+C70+C71+C69+C67+C68</f>
        <v>80648.6</v>
      </c>
      <c r="D65" s="433">
        <f>D66+D70+D71+D69+D67</f>
        <v>68951.4</v>
      </c>
      <c r="E65" s="411">
        <f>D65/C65*100</f>
        <v>85.5</v>
      </c>
      <c r="F65" s="411">
        <f t="shared" si="7"/>
        <v>-11697.2</v>
      </c>
    </row>
    <row r="66" spans="1:6" ht="12.75" hidden="1">
      <c r="A66" s="431" t="s">
        <v>452</v>
      </c>
      <c r="B66" s="414" t="s">
        <v>453</v>
      </c>
      <c r="C66" s="430"/>
      <c r="D66" s="430">
        <v>0</v>
      </c>
      <c r="E66" s="415"/>
      <c r="F66" s="415">
        <f t="shared" si="7"/>
        <v>0</v>
      </c>
    </row>
    <row r="67" spans="1:6" ht="14.25" customHeight="1">
      <c r="A67" s="431" t="s">
        <v>160</v>
      </c>
      <c r="B67" s="414" t="s">
        <v>161</v>
      </c>
      <c r="C67" s="430">
        <v>36182.2</v>
      </c>
      <c r="D67" s="430">
        <v>35320.6</v>
      </c>
      <c r="E67" s="142">
        <f aca="true" t="shared" si="8" ref="E67:E79">D67/C67*100</f>
        <v>97.6</v>
      </c>
      <c r="F67" s="415">
        <f t="shared" si="7"/>
        <v>-861.6</v>
      </c>
    </row>
    <row r="68" spans="1:6" ht="14.25" customHeight="1">
      <c r="A68" s="431" t="s">
        <v>1021</v>
      </c>
      <c r="B68" s="414" t="s">
        <v>1022</v>
      </c>
      <c r="C68" s="430">
        <v>1000</v>
      </c>
      <c r="D68" s="430"/>
      <c r="E68" s="142">
        <f t="shared" si="8"/>
        <v>0</v>
      </c>
      <c r="F68" s="142">
        <f t="shared" si="7"/>
        <v>-1000</v>
      </c>
    </row>
    <row r="69" spans="1:6" ht="12.75">
      <c r="A69" s="435" t="s">
        <v>162</v>
      </c>
      <c r="B69" s="436" t="s">
        <v>59</v>
      </c>
      <c r="C69" s="40">
        <v>2212.2</v>
      </c>
      <c r="D69" s="40">
        <v>748.6</v>
      </c>
      <c r="E69" s="142">
        <f t="shared" si="8"/>
        <v>33.8</v>
      </c>
      <c r="F69" s="142">
        <f t="shared" si="7"/>
        <v>-1463.6</v>
      </c>
    </row>
    <row r="70" spans="1:6" ht="12.75">
      <c r="A70" s="435" t="s">
        <v>163</v>
      </c>
      <c r="B70" s="436" t="s">
        <v>164</v>
      </c>
      <c r="C70" s="40">
        <v>33719.8</v>
      </c>
      <c r="D70" s="40">
        <v>27379.1</v>
      </c>
      <c r="E70" s="142">
        <f t="shared" si="8"/>
        <v>81.2</v>
      </c>
      <c r="F70" s="142">
        <f t="shared" si="7"/>
        <v>-6340.7</v>
      </c>
    </row>
    <row r="71" spans="1:6" ht="25.5">
      <c r="A71" s="437" t="s">
        <v>165</v>
      </c>
      <c r="B71" s="436" t="s">
        <v>166</v>
      </c>
      <c r="C71" s="40">
        <v>7534.4</v>
      </c>
      <c r="D71" s="40">
        <v>5503.1</v>
      </c>
      <c r="E71" s="142">
        <f t="shared" si="8"/>
        <v>73</v>
      </c>
      <c r="F71" s="142">
        <f t="shared" si="7"/>
        <v>-2031.3</v>
      </c>
    </row>
    <row r="72" spans="1:6" ht="12.75">
      <c r="A72" s="434" t="s">
        <v>167</v>
      </c>
      <c r="B72" s="410" t="s">
        <v>168</v>
      </c>
      <c r="C72" s="433">
        <f>C73+C76+C74+C75</f>
        <v>87798.5</v>
      </c>
      <c r="D72" s="433">
        <f>D73+D76+D74+D75</f>
        <v>36786.3</v>
      </c>
      <c r="E72" s="411">
        <f t="shared" si="8"/>
        <v>41.9</v>
      </c>
      <c r="F72" s="411">
        <f t="shared" si="7"/>
        <v>-51012.2</v>
      </c>
    </row>
    <row r="73" spans="1:6" ht="12.75">
      <c r="A73" s="431" t="s">
        <v>169</v>
      </c>
      <c r="B73" s="414" t="s">
        <v>170</v>
      </c>
      <c r="C73" s="430">
        <v>11089.5</v>
      </c>
      <c r="D73" s="430">
        <v>7453.1</v>
      </c>
      <c r="E73" s="415">
        <f t="shared" si="8"/>
        <v>67.2</v>
      </c>
      <c r="F73" s="415">
        <f t="shared" si="7"/>
        <v>-3636.4</v>
      </c>
    </row>
    <row r="74" spans="1:6" ht="12.75">
      <c r="A74" s="431" t="s">
        <v>171</v>
      </c>
      <c r="B74" s="414" t="s">
        <v>172</v>
      </c>
      <c r="C74" s="430">
        <v>68197.1</v>
      </c>
      <c r="D74" s="430">
        <v>23578.3</v>
      </c>
      <c r="E74" s="415">
        <f t="shared" si="8"/>
        <v>34.6</v>
      </c>
      <c r="F74" s="415">
        <f t="shared" si="7"/>
        <v>-44618.8</v>
      </c>
    </row>
    <row r="75" spans="1:6" ht="12.75">
      <c r="A75" s="431" t="s">
        <v>173</v>
      </c>
      <c r="B75" s="414" t="s">
        <v>174</v>
      </c>
      <c r="C75" s="430">
        <v>4275</v>
      </c>
      <c r="D75" s="430">
        <v>3071.3</v>
      </c>
      <c r="E75" s="415">
        <f t="shared" si="8"/>
        <v>71.8</v>
      </c>
      <c r="F75" s="415">
        <f t="shared" si="7"/>
        <v>-1203.7</v>
      </c>
    </row>
    <row r="76" spans="1:6" ht="25.5">
      <c r="A76" s="428" t="s">
        <v>175</v>
      </c>
      <c r="B76" s="429" t="s">
        <v>176</v>
      </c>
      <c r="C76" s="430">
        <v>4236.9</v>
      </c>
      <c r="D76" s="430">
        <v>2683.6</v>
      </c>
      <c r="E76" s="415">
        <f t="shared" si="8"/>
        <v>63.3</v>
      </c>
      <c r="F76" s="415">
        <f t="shared" si="7"/>
        <v>-1553.3</v>
      </c>
    </row>
    <row r="77" spans="1:6" ht="12.75">
      <c r="A77" s="432" t="s">
        <v>574</v>
      </c>
      <c r="B77" s="438" t="s">
        <v>177</v>
      </c>
      <c r="C77" s="433">
        <f>C79+C78</f>
        <v>1273.5</v>
      </c>
      <c r="D77" s="433">
        <f>D79+D78</f>
        <v>1237.3</v>
      </c>
      <c r="E77" s="411">
        <f t="shared" si="8"/>
        <v>97.2</v>
      </c>
      <c r="F77" s="411">
        <f>F79+F78</f>
        <v>-36.2</v>
      </c>
    </row>
    <row r="78" spans="1:6" ht="25.5">
      <c r="A78" s="428" t="s">
        <v>178</v>
      </c>
      <c r="B78" s="429" t="s">
        <v>179</v>
      </c>
      <c r="C78" s="430">
        <v>1075.6</v>
      </c>
      <c r="D78" s="430">
        <v>1062.8</v>
      </c>
      <c r="E78" s="415">
        <f t="shared" si="8"/>
        <v>98.8</v>
      </c>
      <c r="F78" s="415">
        <f>D78-C78</f>
        <v>-12.8</v>
      </c>
    </row>
    <row r="79" spans="1:6" ht="25.5">
      <c r="A79" s="428" t="s">
        <v>180</v>
      </c>
      <c r="B79" s="429" t="s">
        <v>181</v>
      </c>
      <c r="C79" s="430">
        <v>197.9</v>
      </c>
      <c r="D79" s="430">
        <v>174.5</v>
      </c>
      <c r="E79" s="415">
        <f t="shared" si="8"/>
        <v>88.2</v>
      </c>
      <c r="F79" s="415">
        <f>D79-C79</f>
        <v>-23.4</v>
      </c>
    </row>
    <row r="80" spans="1:6" ht="27.75" customHeight="1">
      <c r="A80" s="404" t="s">
        <v>381</v>
      </c>
      <c r="B80" s="51" t="s">
        <v>550</v>
      </c>
      <c r="C80" s="406" t="s">
        <v>981</v>
      </c>
      <c r="D80" s="407" t="s">
        <v>551</v>
      </c>
      <c r="E80" s="408" t="s">
        <v>552</v>
      </c>
      <c r="F80" s="405" t="s">
        <v>553</v>
      </c>
    </row>
    <row r="81" spans="1:6" ht="12.75">
      <c r="A81" s="434" t="s">
        <v>182</v>
      </c>
      <c r="B81" s="438" t="s">
        <v>183</v>
      </c>
      <c r="C81" s="411">
        <f>C82+C83+C84+C85</f>
        <v>361810.5</v>
      </c>
      <c r="D81" s="411">
        <f>D82+D83+D84+D85</f>
        <v>322040.9</v>
      </c>
      <c r="E81" s="411">
        <f aca="true" t="shared" si="9" ref="E81:E103">D81/C81*100</f>
        <v>89</v>
      </c>
      <c r="F81" s="411">
        <f aca="true" t="shared" si="10" ref="F81:F94">D81-C81</f>
        <v>-39769.6</v>
      </c>
    </row>
    <row r="82" spans="1:6" ht="12.75">
      <c r="A82" s="431" t="s">
        <v>184</v>
      </c>
      <c r="B82" s="429" t="s">
        <v>185</v>
      </c>
      <c r="C82" s="430">
        <v>81439.2</v>
      </c>
      <c r="D82" s="430">
        <v>70590</v>
      </c>
      <c r="E82" s="415">
        <f t="shared" si="9"/>
        <v>86.7</v>
      </c>
      <c r="F82" s="415">
        <f t="shared" si="10"/>
        <v>-10849.2</v>
      </c>
    </row>
    <row r="83" spans="1:6" ht="12.75">
      <c r="A83" s="431" t="s">
        <v>186</v>
      </c>
      <c r="B83" s="429" t="s">
        <v>187</v>
      </c>
      <c r="C83" s="415">
        <v>260937.1</v>
      </c>
      <c r="D83" s="430">
        <v>237029.6</v>
      </c>
      <c r="E83" s="415">
        <f t="shared" si="9"/>
        <v>90.8</v>
      </c>
      <c r="F83" s="415">
        <f t="shared" si="10"/>
        <v>-23907.5</v>
      </c>
    </row>
    <row r="84" spans="1:6" ht="15" customHeight="1">
      <c r="A84" s="431" t="s">
        <v>188</v>
      </c>
      <c r="B84" s="429" t="s">
        <v>189</v>
      </c>
      <c r="C84" s="430">
        <v>5327.3</v>
      </c>
      <c r="D84" s="430">
        <v>3561.9</v>
      </c>
      <c r="E84" s="415">
        <f t="shared" si="9"/>
        <v>66.9</v>
      </c>
      <c r="F84" s="415">
        <f t="shared" si="10"/>
        <v>-1765.4</v>
      </c>
    </row>
    <row r="85" spans="1:6" ht="12.75">
      <c r="A85" s="431" t="s">
        <v>190</v>
      </c>
      <c r="B85" s="429" t="s">
        <v>191</v>
      </c>
      <c r="C85" s="430">
        <v>14106.9</v>
      </c>
      <c r="D85" s="430">
        <v>10859.4</v>
      </c>
      <c r="E85" s="415">
        <f t="shared" si="9"/>
        <v>77</v>
      </c>
      <c r="F85" s="415">
        <f t="shared" si="10"/>
        <v>-3247.5</v>
      </c>
    </row>
    <row r="86" spans="1:6" ht="25.5">
      <c r="A86" s="432" t="s">
        <v>192</v>
      </c>
      <c r="B86" s="438" t="s">
        <v>193</v>
      </c>
      <c r="C86" s="411">
        <f>C87+C88+C89</f>
        <v>9094.7</v>
      </c>
      <c r="D86" s="411">
        <f>D87+D88+D89</f>
        <v>6782.4</v>
      </c>
      <c r="E86" s="411">
        <f t="shared" si="9"/>
        <v>74.6</v>
      </c>
      <c r="F86" s="411">
        <f t="shared" si="10"/>
        <v>-2312.3</v>
      </c>
    </row>
    <row r="87" spans="1:6" ht="12.75">
      <c r="A87" s="428" t="s">
        <v>194</v>
      </c>
      <c r="B87" s="429" t="s">
        <v>195</v>
      </c>
      <c r="C87" s="430">
        <v>5472.1</v>
      </c>
      <c r="D87" s="430">
        <v>3461.7</v>
      </c>
      <c r="E87" s="415">
        <f t="shared" si="9"/>
        <v>63.3</v>
      </c>
      <c r="F87" s="415">
        <f t="shared" si="10"/>
        <v>-2010.4</v>
      </c>
    </row>
    <row r="88" spans="1:6" ht="12.75">
      <c r="A88" s="428" t="s">
        <v>196</v>
      </c>
      <c r="B88" s="429" t="s">
        <v>197</v>
      </c>
      <c r="C88" s="430">
        <v>1080</v>
      </c>
      <c r="D88" s="430">
        <v>1080</v>
      </c>
      <c r="E88" s="415">
        <f t="shared" si="9"/>
        <v>100</v>
      </c>
      <c r="F88" s="415">
        <f t="shared" si="10"/>
        <v>0</v>
      </c>
    </row>
    <row r="89" spans="1:6" ht="25.5">
      <c r="A89" s="428" t="s">
        <v>198</v>
      </c>
      <c r="B89" s="429" t="s">
        <v>575</v>
      </c>
      <c r="C89" s="430">
        <v>2542.6</v>
      </c>
      <c r="D89" s="430">
        <v>2240.7</v>
      </c>
      <c r="E89" s="415">
        <f t="shared" si="9"/>
        <v>88.1</v>
      </c>
      <c r="F89" s="415">
        <f t="shared" si="10"/>
        <v>-301.9</v>
      </c>
    </row>
    <row r="90" spans="1:6" ht="12.75">
      <c r="A90" s="434" t="s">
        <v>199</v>
      </c>
      <c r="B90" s="438" t="s">
        <v>591</v>
      </c>
      <c r="C90" s="411">
        <f>SUM(C91:C94)</f>
        <v>109169.8</v>
      </c>
      <c r="D90" s="411">
        <f>SUM(D91:D94)</f>
        <v>87943.1</v>
      </c>
      <c r="E90" s="411">
        <f t="shared" si="9"/>
        <v>80.6</v>
      </c>
      <c r="F90" s="411">
        <f t="shared" si="10"/>
        <v>-21226.7</v>
      </c>
    </row>
    <row r="91" spans="1:6" ht="12.75">
      <c r="A91" s="431" t="s">
        <v>200</v>
      </c>
      <c r="B91" s="429" t="s">
        <v>201</v>
      </c>
      <c r="C91" s="415">
        <v>58644.9</v>
      </c>
      <c r="D91" s="430">
        <v>42376.8</v>
      </c>
      <c r="E91" s="415">
        <f t="shared" si="9"/>
        <v>72.3</v>
      </c>
      <c r="F91" s="415">
        <f t="shared" si="10"/>
        <v>-16268.1</v>
      </c>
    </row>
    <row r="92" spans="1:6" ht="12.75">
      <c r="A92" s="428" t="s">
        <v>202</v>
      </c>
      <c r="B92" s="429" t="s">
        <v>203</v>
      </c>
      <c r="C92" s="415">
        <v>27330.1</v>
      </c>
      <c r="D92" s="430">
        <v>26519.8</v>
      </c>
      <c r="E92" s="415">
        <f t="shared" si="9"/>
        <v>97</v>
      </c>
      <c r="F92" s="415">
        <f t="shared" si="10"/>
        <v>-810.3</v>
      </c>
    </row>
    <row r="93" spans="1:6" ht="12.75">
      <c r="A93" s="428" t="s">
        <v>204</v>
      </c>
      <c r="B93" s="429" t="s">
        <v>205</v>
      </c>
      <c r="C93" s="415">
        <v>21253.1</v>
      </c>
      <c r="D93" s="430">
        <v>17120.8</v>
      </c>
      <c r="E93" s="415">
        <f t="shared" si="9"/>
        <v>80.6</v>
      </c>
      <c r="F93" s="415">
        <f t="shared" si="10"/>
        <v>-4132.3</v>
      </c>
    </row>
    <row r="94" spans="1:6" ht="12.75">
      <c r="A94" s="428" t="s">
        <v>206</v>
      </c>
      <c r="B94" s="429" t="s">
        <v>592</v>
      </c>
      <c r="C94" s="415">
        <v>1941.7</v>
      </c>
      <c r="D94" s="430">
        <v>1925.7</v>
      </c>
      <c r="E94" s="415">
        <f t="shared" si="9"/>
        <v>99.2</v>
      </c>
      <c r="F94" s="415">
        <f t="shared" si="10"/>
        <v>-16</v>
      </c>
    </row>
    <row r="95" spans="1:6" ht="12.75">
      <c r="A95" s="439">
        <v>1000</v>
      </c>
      <c r="B95" s="438" t="s">
        <v>207</v>
      </c>
      <c r="C95" s="433">
        <f>C96+C99+C98+C97</f>
        <v>43731.6</v>
      </c>
      <c r="D95" s="433">
        <f>D96+D99+D98+D97</f>
        <v>30683</v>
      </c>
      <c r="E95" s="423">
        <f t="shared" si="9"/>
        <v>70.2</v>
      </c>
      <c r="F95" s="411">
        <f>F96+F99+F98+F97</f>
        <v>-13048.6</v>
      </c>
    </row>
    <row r="96" spans="1:6" ht="12.75">
      <c r="A96" s="440">
        <v>1001</v>
      </c>
      <c r="B96" s="429" t="s">
        <v>208</v>
      </c>
      <c r="C96" s="430">
        <v>944.9</v>
      </c>
      <c r="D96" s="430">
        <v>943.8</v>
      </c>
      <c r="E96" s="415">
        <f t="shared" si="9"/>
        <v>99.9</v>
      </c>
      <c r="F96" s="415">
        <f aca="true" t="shared" si="11" ref="F96:F103">D96-C96</f>
        <v>-1.1</v>
      </c>
    </row>
    <row r="97" spans="1:6" ht="12.75">
      <c r="A97" s="440">
        <v>1003</v>
      </c>
      <c r="B97" s="429" t="s">
        <v>209</v>
      </c>
      <c r="C97" s="430">
        <v>30617.1</v>
      </c>
      <c r="D97" s="430">
        <v>18079.6</v>
      </c>
      <c r="E97" s="415">
        <f t="shared" si="9"/>
        <v>59.1</v>
      </c>
      <c r="F97" s="415">
        <f t="shared" si="11"/>
        <v>-12537.5</v>
      </c>
    </row>
    <row r="98" spans="1:6" ht="12.75">
      <c r="A98" s="441">
        <v>1004</v>
      </c>
      <c r="B98" s="429" t="s">
        <v>210</v>
      </c>
      <c r="C98" s="430">
        <v>9521.6</v>
      </c>
      <c r="D98" s="430">
        <v>9088.4</v>
      </c>
      <c r="E98" s="415">
        <f t="shared" si="9"/>
        <v>95.5</v>
      </c>
      <c r="F98" s="415">
        <f t="shared" si="11"/>
        <v>-433.2</v>
      </c>
    </row>
    <row r="99" spans="1:6" ht="25.5">
      <c r="A99" s="441">
        <v>1006</v>
      </c>
      <c r="B99" s="429" t="s">
        <v>211</v>
      </c>
      <c r="C99" s="430">
        <v>2648</v>
      </c>
      <c r="D99" s="430">
        <v>2571.2</v>
      </c>
      <c r="E99" s="415">
        <f t="shared" si="9"/>
        <v>97.1</v>
      </c>
      <c r="F99" s="415">
        <f t="shared" si="11"/>
        <v>-76.8</v>
      </c>
    </row>
    <row r="100" spans="1:6" ht="12.75">
      <c r="A100" s="442">
        <v>1100</v>
      </c>
      <c r="B100" s="438" t="s">
        <v>212</v>
      </c>
      <c r="C100" s="433">
        <f>C101+C102</f>
        <v>17852.2</v>
      </c>
      <c r="D100" s="433">
        <f>D101+D102</f>
        <v>17852.2</v>
      </c>
      <c r="E100" s="411">
        <f t="shared" si="9"/>
        <v>100</v>
      </c>
      <c r="F100" s="411">
        <f t="shared" si="11"/>
        <v>0</v>
      </c>
    </row>
    <row r="101" spans="1:6" ht="25.5">
      <c r="A101" s="441">
        <v>1101</v>
      </c>
      <c r="B101" s="429" t="s">
        <v>593</v>
      </c>
      <c r="C101" s="430">
        <v>16683.8</v>
      </c>
      <c r="D101" s="430">
        <v>16683.8</v>
      </c>
      <c r="E101" s="415">
        <f t="shared" si="9"/>
        <v>100</v>
      </c>
      <c r="F101" s="415">
        <f t="shared" si="11"/>
        <v>0</v>
      </c>
    </row>
    <row r="102" spans="1:6" ht="25.5">
      <c r="A102" s="441">
        <v>1103</v>
      </c>
      <c r="B102" s="429" t="s">
        <v>594</v>
      </c>
      <c r="C102" s="430">
        <v>1168.4</v>
      </c>
      <c r="D102" s="430">
        <v>1168.4</v>
      </c>
      <c r="E102" s="415">
        <f t="shared" si="9"/>
        <v>100</v>
      </c>
      <c r="F102" s="415">
        <f t="shared" si="11"/>
        <v>0</v>
      </c>
    </row>
    <row r="103" spans="1:6" ht="12.75">
      <c r="A103" s="443"/>
      <c r="B103" s="444" t="s">
        <v>595</v>
      </c>
      <c r="C103" s="411">
        <f>C48+C58+C65+C72+C77+C81+C86+C90+C95+C100</f>
        <v>797644.4</v>
      </c>
      <c r="D103" s="411">
        <f>D48+D58+D65+D72+D77+D81+D86+D90+D95+D100</f>
        <v>645963.6</v>
      </c>
      <c r="E103" s="411">
        <f t="shared" si="9"/>
        <v>81</v>
      </c>
      <c r="F103" s="411">
        <f t="shared" si="11"/>
        <v>-151680.8</v>
      </c>
    </row>
    <row r="104" spans="1:6" ht="25.5">
      <c r="A104" s="443">
        <v>7900</v>
      </c>
      <c r="B104" s="445" t="s">
        <v>576</v>
      </c>
      <c r="C104" s="411">
        <f>C46-C103</f>
        <v>-115565.5</v>
      </c>
      <c r="D104" s="411">
        <f>D46-D103</f>
        <v>47482.4</v>
      </c>
      <c r="E104" s="411"/>
      <c r="F104" s="446"/>
    </row>
    <row r="105" spans="1:6" ht="22.5" customHeight="1">
      <c r="A105" s="703" t="s">
        <v>577</v>
      </c>
      <c r="B105" s="703"/>
      <c r="C105" s="703"/>
      <c r="D105" s="703"/>
      <c r="E105" s="703"/>
      <c r="F105" s="703"/>
    </row>
    <row r="106" spans="1:6" ht="25.5">
      <c r="A106" s="447" t="s">
        <v>578</v>
      </c>
      <c r="B106" s="448" t="s">
        <v>579</v>
      </c>
      <c r="C106" s="449">
        <f>C110+C109</f>
        <v>115565.5</v>
      </c>
      <c r="D106" s="449">
        <f>D110+D109</f>
        <v>-47482.4</v>
      </c>
      <c r="E106" s="450"/>
      <c r="F106" s="450"/>
    </row>
    <row r="107" spans="1:7" s="459" customFormat="1" ht="25.5">
      <c r="A107" s="458" t="s">
        <v>596</v>
      </c>
      <c r="B107" s="452" t="s">
        <v>597</v>
      </c>
      <c r="C107" s="379"/>
      <c r="D107" s="379"/>
      <c r="E107" s="77"/>
      <c r="F107" s="77"/>
      <c r="G107" s="8"/>
    </row>
    <row r="108" spans="1:7" s="459" customFormat="1" ht="38.25">
      <c r="A108" s="458" t="s">
        <v>598</v>
      </c>
      <c r="B108" s="452" t="s">
        <v>599</v>
      </c>
      <c r="C108" s="379"/>
      <c r="D108" s="379"/>
      <c r="E108" s="77"/>
      <c r="F108" s="77"/>
      <c r="G108" s="8"/>
    </row>
    <row r="109" spans="1:7" s="3" customFormat="1" ht="39" customHeight="1">
      <c r="A109" s="451" t="s">
        <v>569</v>
      </c>
      <c r="B109" s="452" t="s">
        <v>600</v>
      </c>
      <c r="C109" s="77">
        <v>653.5</v>
      </c>
      <c r="D109" s="77">
        <v>720.8</v>
      </c>
      <c r="E109" s="497">
        <f>D109/C109*100</f>
        <v>110.3</v>
      </c>
      <c r="F109" s="480">
        <f>D109-C109</f>
        <v>67.3</v>
      </c>
      <c r="G109" s="8"/>
    </row>
    <row r="110" spans="1:6" ht="12.75">
      <c r="A110" s="451" t="s">
        <v>580</v>
      </c>
      <c r="B110" s="444" t="s">
        <v>581</v>
      </c>
      <c r="C110" s="411">
        <f>C111+C112</f>
        <v>114912</v>
      </c>
      <c r="D110" s="411">
        <f>D111+D112</f>
        <v>-48203.2</v>
      </c>
      <c r="E110" s="415"/>
      <c r="F110" s="453"/>
    </row>
    <row r="111" spans="1:6" ht="12.75">
      <c r="A111" s="451" t="s">
        <v>582</v>
      </c>
      <c r="B111" s="454" t="s">
        <v>583</v>
      </c>
      <c r="C111" s="415">
        <f>-C46-C109-C108</f>
        <v>-682732.4</v>
      </c>
      <c r="D111" s="415">
        <f>-D46-D109-D108</f>
        <v>-694166.8</v>
      </c>
      <c r="E111" s="415"/>
      <c r="F111" s="453"/>
    </row>
    <row r="112" spans="1:6" ht="12.75">
      <c r="A112" s="451" t="s">
        <v>584</v>
      </c>
      <c r="B112" s="454" t="s">
        <v>585</v>
      </c>
      <c r="C112" s="415">
        <f>C103-C107</f>
        <v>797644.4</v>
      </c>
      <c r="D112" s="415">
        <f>D103-D107</f>
        <v>645963.6</v>
      </c>
      <c r="E112" s="415"/>
      <c r="F112" s="453"/>
    </row>
    <row r="113" spans="1:6" ht="12.75">
      <c r="A113" s="451" t="s">
        <v>584</v>
      </c>
      <c r="B113" s="454" t="s">
        <v>585</v>
      </c>
      <c r="C113" s="415">
        <f>C104-C108</f>
        <v>-115565.5</v>
      </c>
      <c r="D113" s="415">
        <f>D104-D108</f>
        <v>47482.4</v>
      </c>
      <c r="E113" s="415"/>
      <c r="F113" s="453"/>
    </row>
    <row r="114" spans="1:6" ht="36" customHeight="1">
      <c r="A114" s="455" t="s">
        <v>932</v>
      </c>
      <c r="B114" s="455"/>
      <c r="C114" s="455"/>
      <c r="D114" s="455"/>
      <c r="E114" s="704" t="s">
        <v>586</v>
      </c>
      <c r="F114" s="704"/>
    </row>
    <row r="115" spans="3:4" ht="12.75">
      <c r="C115" s="456"/>
      <c r="D115" s="456"/>
    </row>
  </sheetData>
  <mergeCells count="7">
    <mergeCell ref="E114:F114"/>
    <mergeCell ref="D1:E1"/>
    <mergeCell ref="A3:F3"/>
    <mergeCell ref="A4:F4"/>
    <mergeCell ref="E5:F5"/>
    <mergeCell ref="A47:F47"/>
    <mergeCell ref="A105:F10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J81" sqref="J81"/>
    </sheetView>
  </sheetViews>
  <sheetFormatPr defaultColWidth="9.140625" defaultRowHeight="12.75"/>
  <cols>
    <col min="1" max="1" width="4.8515625" style="525" customWidth="1"/>
    <col min="2" max="2" width="3.8515625" style="3" customWidth="1"/>
    <col min="3" max="3" width="33.140625" style="3" customWidth="1"/>
    <col min="4" max="4" width="5.00390625" style="263" customWidth="1"/>
    <col min="5" max="5" width="14.421875" style="526" customWidth="1"/>
    <col min="6" max="6" width="14.8515625" style="263" customWidth="1"/>
    <col min="7" max="7" width="12.8515625" style="263" customWidth="1"/>
    <col min="8" max="8" width="13.421875" style="264" bestFit="1" customWidth="1"/>
    <col min="9" max="9" width="12.421875" style="263" customWidth="1"/>
    <col min="10" max="10" width="15.00390625" style="264" bestFit="1" customWidth="1"/>
    <col min="11" max="11" width="13.28125" style="263" customWidth="1"/>
    <col min="12" max="12" width="25.140625" style="3" customWidth="1"/>
    <col min="13" max="16384" width="9.140625" style="3" customWidth="1"/>
  </cols>
  <sheetData>
    <row r="1" spans="10:11" ht="12.75">
      <c r="J1" s="705" t="s">
        <v>333</v>
      </c>
      <c r="K1" s="705"/>
    </row>
    <row r="3" spans="3:11" ht="15.75">
      <c r="C3" s="695" t="s">
        <v>626</v>
      </c>
      <c r="D3" s="695"/>
      <c r="E3" s="695"/>
      <c r="F3" s="695"/>
      <c r="G3" s="695"/>
      <c r="H3" s="695"/>
      <c r="I3" s="695"/>
      <c r="J3" s="695"/>
      <c r="K3" s="695"/>
    </row>
    <row r="4" ht="5.25" customHeight="1"/>
    <row r="5" spans="1:11" ht="21.75" customHeight="1">
      <c r="A5" s="527"/>
      <c r="B5" s="524"/>
      <c r="C5" s="688"/>
      <c r="D5" s="690" t="s">
        <v>601</v>
      </c>
      <c r="E5" s="692" t="s">
        <v>602</v>
      </c>
      <c r="F5" s="699" t="s">
        <v>607</v>
      </c>
      <c r="G5" s="700" t="s">
        <v>307</v>
      </c>
      <c r="H5" s="701"/>
      <c r="I5" s="702" t="s">
        <v>331</v>
      </c>
      <c r="J5" s="697" t="s">
        <v>936</v>
      </c>
      <c r="K5" s="699" t="s">
        <v>271</v>
      </c>
    </row>
    <row r="6" spans="1:11" ht="11.25" customHeight="1">
      <c r="A6" s="527"/>
      <c r="B6" s="140"/>
      <c r="C6" s="689"/>
      <c r="D6" s="691"/>
      <c r="E6" s="692"/>
      <c r="F6" s="699"/>
      <c r="G6" s="88" t="s">
        <v>800</v>
      </c>
      <c r="H6" s="528" t="s">
        <v>272</v>
      </c>
      <c r="I6" s="696"/>
      <c r="J6" s="698"/>
      <c r="K6" s="699"/>
    </row>
    <row r="7" spans="1:11" s="536" customFormat="1" ht="12.75" customHeight="1">
      <c r="A7" s="529" t="s">
        <v>608</v>
      </c>
      <c r="B7" s="530"/>
      <c r="C7" s="531">
        <v>1</v>
      </c>
      <c r="D7" s="531"/>
      <c r="E7" s="532">
        <v>2</v>
      </c>
      <c r="F7" s="532">
        <v>3</v>
      </c>
      <c r="G7" s="532">
        <v>4</v>
      </c>
      <c r="H7" s="533">
        <v>5</v>
      </c>
      <c r="I7" s="534" t="s">
        <v>332</v>
      </c>
      <c r="J7" s="533">
        <v>7</v>
      </c>
      <c r="K7" s="535" t="s">
        <v>937</v>
      </c>
    </row>
    <row r="8" spans="1:11" ht="12.75">
      <c r="A8" s="527" t="s">
        <v>149</v>
      </c>
      <c r="B8" s="266">
        <v>1</v>
      </c>
      <c r="C8" s="267" t="s">
        <v>273</v>
      </c>
      <c r="D8" s="537" t="s">
        <v>609</v>
      </c>
      <c r="E8" s="538">
        <v>3716300</v>
      </c>
      <c r="F8" s="539">
        <v>1802100</v>
      </c>
      <c r="G8" s="539">
        <v>1802100</v>
      </c>
      <c r="H8" s="539">
        <v>1802100</v>
      </c>
      <c r="I8" s="539">
        <f>F8-G8</f>
        <v>0</v>
      </c>
      <c r="J8" s="539">
        <v>1746327.88</v>
      </c>
      <c r="K8" s="539">
        <f aca="true" t="shared" si="0" ref="K8:K13">G8-J8</f>
        <v>55772.12</v>
      </c>
    </row>
    <row r="9" spans="1:11" ht="25.5">
      <c r="A9" s="527" t="s">
        <v>143</v>
      </c>
      <c r="B9" s="266">
        <v>2</v>
      </c>
      <c r="C9" s="267" t="s">
        <v>274</v>
      </c>
      <c r="D9" s="537" t="s">
        <v>609</v>
      </c>
      <c r="E9" s="538">
        <v>9600</v>
      </c>
      <c r="F9" s="539">
        <v>9600</v>
      </c>
      <c r="G9" s="539">
        <v>0</v>
      </c>
      <c r="H9" s="539">
        <v>0</v>
      </c>
      <c r="I9" s="539">
        <f>F9-G9</f>
        <v>9600</v>
      </c>
      <c r="J9" s="539">
        <v>0</v>
      </c>
      <c r="K9" s="539">
        <f t="shared" si="0"/>
        <v>0</v>
      </c>
    </row>
    <row r="10" spans="1:11" ht="25.5">
      <c r="A10" s="527" t="s">
        <v>153</v>
      </c>
      <c r="B10" s="266">
        <v>3</v>
      </c>
      <c r="C10" s="267" t="s">
        <v>275</v>
      </c>
      <c r="D10" s="537" t="s">
        <v>609</v>
      </c>
      <c r="E10" s="538">
        <v>12807000</v>
      </c>
      <c r="F10" s="539">
        <v>8332400</v>
      </c>
      <c r="G10" s="539">
        <v>8332400</v>
      </c>
      <c r="H10" s="539">
        <v>8332400</v>
      </c>
      <c r="I10" s="539">
        <f>F10-G10</f>
        <v>0</v>
      </c>
      <c r="J10" s="539">
        <v>7169422.02</v>
      </c>
      <c r="K10" s="539">
        <f t="shared" si="0"/>
        <v>1162977.98</v>
      </c>
    </row>
    <row r="11" spans="1:11" ht="38.25">
      <c r="A11" s="527" t="s">
        <v>162</v>
      </c>
      <c r="B11" s="266">
        <v>4</v>
      </c>
      <c r="C11" s="269" t="s">
        <v>276</v>
      </c>
      <c r="D11" s="537"/>
      <c r="E11" s="540">
        <v>2305700</v>
      </c>
      <c r="F11" s="539">
        <v>1152850</v>
      </c>
      <c r="G11" s="539">
        <v>0</v>
      </c>
      <c r="H11" s="539">
        <v>0</v>
      </c>
      <c r="I11" s="539">
        <v>0</v>
      </c>
      <c r="J11" s="539">
        <v>0</v>
      </c>
      <c r="K11" s="539">
        <f t="shared" si="0"/>
        <v>0</v>
      </c>
    </row>
    <row r="12" spans="1:11" ht="24.75" customHeight="1">
      <c r="A12" s="541" t="s">
        <v>200</v>
      </c>
      <c r="B12" s="266">
        <v>5</v>
      </c>
      <c r="C12" s="267" t="s">
        <v>280</v>
      </c>
      <c r="D12" s="537" t="s">
        <v>609</v>
      </c>
      <c r="E12" s="538">
        <v>9222739</v>
      </c>
      <c r="F12" s="539">
        <f>4650947+700000</f>
        <v>5350947</v>
      </c>
      <c r="G12" s="539">
        <v>5350947</v>
      </c>
      <c r="H12" s="539">
        <v>5271792</v>
      </c>
      <c r="I12" s="539">
        <f>F12-G12</f>
        <v>0</v>
      </c>
      <c r="J12" s="539">
        <v>4256437.79</v>
      </c>
      <c r="K12" s="539">
        <f t="shared" si="0"/>
        <v>1094509.21</v>
      </c>
    </row>
    <row r="13" spans="1:11" ht="25.5">
      <c r="A13" s="527" t="s">
        <v>610</v>
      </c>
      <c r="B13" s="271">
        <v>6</v>
      </c>
      <c r="C13" s="267" t="s">
        <v>286</v>
      </c>
      <c r="D13" s="537" t="s">
        <v>609</v>
      </c>
      <c r="E13" s="538">
        <v>1094900</v>
      </c>
      <c r="F13" s="539">
        <v>717600</v>
      </c>
      <c r="G13" s="539">
        <v>717600</v>
      </c>
      <c r="H13" s="539">
        <v>561200</v>
      </c>
      <c r="I13" s="539">
        <f>F13-G13</f>
        <v>0</v>
      </c>
      <c r="J13" s="539">
        <v>717600</v>
      </c>
      <c r="K13" s="539">
        <f t="shared" si="0"/>
        <v>0</v>
      </c>
    </row>
    <row r="14" spans="1:11" ht="24.75" customHeight="1">
      <c r="A14" s="527"/>
      <c r="B14" s="140"/>
      <c r="C14" s="542" t="s">
        <v>611</v>
      </c>
      <c r="D14" s="276"/>
      <c r="E14" s="543">
        <f>SUM(E8:E13)</f>
        <v>29156239</v>
      </c>
      <c r="F14" s="543">
        <f aca="true" t="shared" si="1" ref="F14:K14">SUM(F8:F13)</f>
        <v>17365497</v>
      </c>
      <c r="G14" s="543">
        <f t="shared" si="1"/>
        <v>16203047</v>
      </c>
      <c r="H14" s="543">
        <f t="shared" si="1"/>
        <v>15967492</v>
      </c>
      <c r="I14" s="543">
        <f t="shared" si="1"/>
        <v>9600</v>
      </c>
      <c r="J14" s="543">
        <f t="shared" si="1"/>
        <v>13889787.69</v>
      </c>
      <c r="K14" s="543">
        <f t="shared" si="1"/>
        <v>2313259.31</v>
      </c>
    </row>
    <row r="15" spans="1:11" ht="39" customHeight="1">
      <c r="A15" s="541" t="s">
        <v>610</v>
      </c>
      <c r="B15" s="266">
        <v>1</v>
      </c>
      <c r="C15" s="267" t="s">
        <v>281</v>
      </c>
      <c r="D15" s="537" t="s">
        <v>609</v>
      </c>
      <c r="E15" s="538">
        <v>4411608</v>
      </c>
      <c r="F15" s="539"/>
      <c r="G15" s="539">
        <v>0</v>
      </c>
      <c r="H15" s="539">
        <v>0</v>
      </c>
      <c r="I15" s="539">
        <f>F15-G15</f>
        <v>0</v>
      </c>
      <c r="J15" s="539">
        <v>0</v>
      </c>
      <c r="K15" s="539">
        <f>G15-J15</f>
        <v>0</v>
      </c>
    </row>
    <row r="16" spans="1:11" ht="27" customHeight="1">
      <c r="A16" s="527"/>
      <c r="B16" s="140"/>
      <c r="C16" s="544" t="s">
        <v>612</v>
      </c>
      <c r="D16" s="276"/>
      <c r="E16" s="543">
        <f>E15</f>
        <v>4411608</v>
      </c>
      <c r="F16" s="543">
        <f aca="true" t="shared" si="2" ref="F16:K16">F15</f>
        <v>0</v>
      </c>
      <c r="G16" s="543">
        <f t="shared" si="2"/>
        <v>0</v>
      </c>
      <c r="H16" s="543">
        <f t="shared" si="2"/>
        <v>0</v>
      </c>
      <c r="I16" s="543">
        <f t="shared" si="2"/>
        <v>0</v>
      </c>
      <c r="J16" s="543">
        <f t="shared" si="2"/>
        <v>0</v>
      </c>
      <c r="K16" s="543">
        <f t="shared" si="2"/>
        <v>0</v>
      </c>
    </row>
    <row r="17" spans="1:11" ht="13.5" customHeight="1">
      <c r="A17" s="527" t="s">
        <v>186</v>
      </c>
      <c r="B17" s="268">
        <v>1</v>
      </c>
      <c r="C17" s="278" t="s">
        <v>298</v>
      </c>
      <c r="D17" s="268"/>
      <c r="E17" s="539">
        <f>E18+E19</f>
        <v>260375292</v>
      </c>
      <c r="F17" s="539">
        <f>F18+F19</f>
        <v>136832692</v>
      </c>
      <c r="G17" s="539">
        <f>G18+G19</f>
        <v>136832692</v>
      </c>
      <c r="H17" s="539">
        <f>H18+H19</f>
        <v>136777000</v>
      </c>
      <c r="I17" s="539">
        <f>F17-G17</f>
        <v>0</v>
      </c>
      <c r="J17" s="539">
        <f>J18+J19</f>
        <v>134606765.48</v>
      </c>
      <c r="K17" s="539">
        <f>G17-J17</f>
        <v>2225926.52</v>
      </c>
    </row>
    <row r="18" spans="1:11" ht="12.75">
      <c r="A18" s="527"/>
      <c r="B18" s="268"/>
      <c r="C18" s="273" t="s">
        <v>299</v>
      </c>
      <c r="D18" s="274"/>
      <c r="E18" s="545">
        <v>243964900</v>
      </c>
      <c r="F18" s="545">
        <v>127707200</v>
      </c>
      <c r="G18" s="545">
        <v>127707200</v>
      </c>
      <c r="H18" s="545">
        <v>127653000</v>
      </c>
      <c r="I18" s="539">
        <f>F18-G18</f>
        <v>0</v>
      </c>
      <c r="J18" s="539">
        <v>126943661.28</v>
      </c>
      <c r="K18" s="539">
        <f>G18-J18</f>
        <v>763538.72</v>
      </c>
    </row>
    <row r="19" spans="1:11" ht="14.25" customHeight="1">
      <c r="A19" s="527"/>
      <c r="B19" s="268"/>
      <c r="C19" s="273" t="s">
        <v>300</v>
      </c>
      <c r="D19" s="274"/>
      <c r="E19" s="545">
        <v>16410392</v>
      </c>
      <c r="F19" s="545">
        <v>9125492</v>
      </c>
      <c r="G19" s="545">
        <v>9125492</v>
      </c>
      <c r="H19" s="545">
        <v>9124000</v>
      </c>
      <c r="I19" s="539">
        <f>F19-G19</f>
        <v>0</v>
      </c>
      <c r="J19" s="539">
        <v>7663104.2</v>
      </c>
      <c r="K19" s="539">
        <f>G19-J19</f>
        <v>1462387.8</v>
      </c>
    </row>
    <row r="20" spans="1:11" ht="15" customHeight="1">
      <c r="A20" s="527" t="s">
        <v>169</v>
      </c>
      <c r="B20" s="266">
        <v>2</v>
      </c>
      <c r="C20" s="277" t="s">
        <v>297</v>
      </c>
      <c r="D20" s="546"/>
      <c r="E20" s="538">
        <v>3185668</v>
      </c>
      <c r="F20" s="539">
        <v>1592834</v>
      </c>
      <c r="G20" s="539">
        <v>3185668</v>
      </c>
      <c r="H20" s="539">
        <v>0</v>
      </c>
      <c r="I20" s="539">
        <f>F20-G20</f>
        <v>-1592834</v>
      </c>
      <c r="J20" s="539">
        <v>600000</v>
      </c>
      <c r="K20" s="539">
        <f>G20-J20</f>
        <v>2585668</v>
      </c>
    </row>
    <row r="21" spans="1:11" ht="33" customHeight="1">
      <c r="A21" s="527"/>
      <c r="B21" s="140"/>
      <c r="C21" s="544" t="s">
        <v>613</v>
      </c>
      <c r="D21" s="276"/>
      <c r="E21" s="543">
        <f>E20+E17</f>
        <v>263560960</v>
      </c>
      <c r="F21" s="543">
        <f aca="true" t="shared" si="3" ref="F21:K21">F20+F17</f>
        <v>138425526</v>
      </c>
      <c r="G21" s="543">
        <f t="shared" si="3"/>
        <v>140018360</v>
      </c>
      <c r="H21" s="543">
        <f t="shared" si="3"/>
        <v>136777000</v>
      </c>
      <c r="I21" s="543">
        <f t="shared" si="3"/>
        <v>-1592834</v>
      </c>
      <c r="J21" s="543">
        <f t="shared" si="3"/>
        <v>135206765.48</v>
      </c>
      <c r="K21" s="543">
        <f t="shared" si="3"/>
        <v>4811594.52</v>
      </c>
    </row>
    <row r="22" spans="1:11" ht="26.25" customHeight="1">
      <c r="A22" s="527" t="s">
        <v>142</v>
      </c>
      <c r="B22" s="266">
        <v>1</v>
      </c>
      <c r="C22" s="267" t="s">
        <v>287</v>
      </c>
      <c r="D22" s="537"/>
      <c r="E22" s="538">
        <v>197000</v>
      </c>
      <c r="F22" s="539">
        <v>98500</v>
      </c>
      <c r="G22" s="539">
        <v>98500</v>
      </c>
      <c r="H22" s="539">
        <v>98500</v>
      </c>
      <c r="I22" s="539">
        <f aca="true" t="shared" si="4" ref="I22:I29">F22-G22</f>
        <v>0</v>
      </c>
      <c r="J22" s="539">
        <v>98473.58</v>
      </c>
      <c r="K22" s="539">
        <f>G22-J22</f>
        <v>26.42</v>
      </c>
    </row>
    <row r="23" spans="1:11" ht="25.5">
      <c r="A23" s="527" t="s">
        <v>149</v>
      </c>
      <c r="B23" s="266">
        <v>2</v>
      </c>
      <c r="C23" s="267" t="s">
        <v>288</v>
      </c>
      <c r="D23" s="537"/>
      <c r="E23" s="538">
        <v>420000</v>
      </c>
      <c r="F23" s="539">
        <v>162000</v>
      </c>
      <c r="G23" s="539">
        <v>162000</v>
      </c>
      <c r="H23" s="539">
        <v>162000</v>
      </c>
      <c r="I23" s="539">
        <f t="shared" si="4"/>
        <v>0</v>
      </c>
      <c r="J23" s="539">
        <v>161999.28</v>
      </c>
      <c r="K23" s="539">
        <f aca="true" t="shared" si="5" ref="K23:K55">G23-J23</f>
        <v>0.72</v>
      </c>
    </row>
    <row r="24" spans="1:11" ht="38.25">
      <c r="A24" s="527" t="s">
        <v>142</v>
      </c>
      <c r="B24" s="266">
        <v>3</v>
      </c>
      <c r="C24" s="269" t="s">
        <v>289</v>
      </c>
      <c r="D24" s="547"/>
      <c r="E24" s="540">
        <v>600</v>
      </c>
      <c r="F24" s="539">
        <v>300</v>
      </c>
      <c r="G24" s="539">
        <v>300</v>
      </c>
      <c r="H24" s="539">
        <v>300</v>
      </c>
      <c r="I24" s="539">
        <f t="shared" si="4"/>
        <v>0</v>
      </c>
      <c r="J24" s="539"/>
      <c r="K24" s="539">
        <f t="shared" si="5"/>
        <v>300</v>
      </c>
    </row>
    <row r="25" spans="1:11" ht="25.5">
      <c r="A25" s="527" t="s">
        <v>142</v>
      </c>
      <c r="B25" s="266">
        <v>4</v>
      </c>
      <c r="C25" s="267" t="s">
        <v>290</v>
      </c>
      <c r="D25" s="537"/>
      <c r="E25" s="538">
        <v>1182000</v>
      </c>
      <c r="F25" s="539">
        <v>592000</v>
      </c>
      <c r="G25" s="539">
        <v>592000</v>
      </c>
      <c r="H25" s="539">
        <v>592000</v>
      </c>
      <c r="I25" s="539">
        <f t="shared" si="4"/>
        <v>0</v>
      </c>
      <c r="J25" s="539">
        <v>591461.11</v>
      </c>
      <c r="K25" s="539">
        <f t="shared" si="5"/>
        <v>538.89</v>
      </c>
    </row>
    <row r="26" spans="1:11" ht="25.5">
      <c r="A26" s="527" t="s">
        <v>146</v>
      </c>
      <c r="B26" s="266">
        <v>5</v>
      </c>
      <c r="C26" s="267" t="s">
        <v>292</v>
      </c>
      <c r="D26" s="537"/>
      <c r="E26" s="538">
        <v>935000</v>
      </c>
      <c r="F26" s="539">
        <v>434500</v>
      </c>
      <c r="G26" s="539">
        <v>434500</v>
      </c>
      <c r="H26" s="539">
        <v>434500</v>
      </c>
      <c r="I26" s="539">
        <f t="shared" si="4"/>
        <v>0</v>
      </c>
      <c r="J26" s="539">
        <v>428937.86</v>
      </c>
      <c r="K26" s="539">
        <f t="shared" si="5"/>
        <v>5562.14</v>
      </c>
    </row>
    <row r="27" spans="1:11" ht="38.25">
      <c r="A27" s="527" t="s">
        <v>145</v>
      </c>
      <c r="B27" s="266">
        <v>6</v>
      </c>
      <c r="C27" s="267" t="s">
        <v>293</v>
      </c>
      <c r="D27" s="537"/>
      <c r="E27" s="538">
        <v>152900</v>
      </c>
      <c r="F27" s="539">
        <v>76400</v>
      </c>
      <c r="G27" s="539">
        <v>76400</v>
      </c>
      <c r="H27" s="539">
        <v>76400</v>
      </c>
      <c r="I27" s="539">
        <f t="shared" si="4"/>
        <v>0</v>
      </c>
      <c r="J27" s="539">
        <v>76400</v>
      </c>
      <c r="K27" s="539">
        <f t="shared" si="5"/>
        <v>0</v>
      </c>
    </row>
    <row r="28" spans="1:11" ht="12.75">
      <c r="A28" s="527" t="s">
        <v>157</v>
      </c>
      <c r="B28" s="266">
        <v>7</v>
      </c>
      <c r="C28" s="267" t="s">
        <v>294</v>
      </c>
      <c r="D28" s="537"/>
      <c r="E28" s="538">
        <v>9500</v>
      </c>
      <c r="F28" s="539">
        <v>9500</v>
      </c>
      <c r="G28" s="539">
        <v>9500</v>
      </c>
      <c r="H28" s="539">
        <v>9500</v>
      </c>
      <c r="I28" s="539">
        <f t="shared" si="4"/>
        <v>0</v>
      </c>
      <c r="J28" s="539">
        <v>0</v>
      </c>
      <c r="K28" s="539">
        <f t="shared" si="5"/>
        <v>9500</v>
      </c>
    </row>
    <row r="29" spans="1:11" ht="24" customHeight="1">
      <c r="A29" s="527" t="s">
        <v>160</v>
      </c>
      <c r="B29" s="266">
        <v>8</v>
      </c>
      <c r="C29" s="267" t="s">
        <v>295</v>
      </c>
      <c r="D29" s="537"/>
      <c r="E29" s="538">
        <v>1053000</v>
      </c>
      <c r="F29" s="539">
        <v>485100</v>
      </c>
      <c r="G29" s="539">
        <v>485100</v>
      </c>
      <c r="H29" s="539">
        <v>485100</v>
      </c>
      <c r="I29" s="539">
        <f t="shared" si="4"/>
        <v>0</v>
      </c>
      <c r="J29" s="539">
        <v>485100</v>
      </c>
      <c r="K29" s="539">
        <f t="shared" si="5"/>
        <v>0</v>
      </c>
    </row>
    <row r="30" spans="1:11" ht="25.5">
      <c r="A30" s="527" t="s">
        <v>160</v>
      </c>
      <c r="B30" s="270">
        <v>9</v>
      </c>
      <c r="C30" s="267" t="s">
        <v>614</v>
      </c>
      <c r="D30" s="537"/>
      <c r="E30" s="539">
        <f aca="true" t="shared" si="6" ref="E30:J30">SUM(E31:E36)</f>
        <v>58686000</v>
      </c>
      <c r="F30" s="539">
        <f t="shared" si="6"/>
        <v>32142835</v>
      </c>
      <c r="G30" s="539">
        <f t="shared" si="6"/>
        <v>32142835</v>
      </c>
      <c r="H30" s="539">
        <f t="shared" si="6"/>
        <v>32142835</v>
      </c>
      <c r="I30" s="539">
        <f t="shared" si="6"/>
        <v>0</v>
      </c>
      <c r="J30" s="539">
        <f t="shared" si="6"/>
        <v>31289399.69</v>
      </c>
      <c r="K30" s="539">
        <f t="shared" si="5"/>
        <v>853435.31</v>
      </c>
    </row>
    <row r="31" spans="1:11" ht="24.75" customHeight="1">
      <c r="A31" s="527"/>
      <c r="B31" s="270"/>
      <c r="C31" s="498" t="s">
        <v>615</v>
      </c>
      <c r="D31" s="548"/>
      <c r="E31" s="549">
        <v>32813000</v>
      </c>
      <c r="F31" s="550">
        <v>15105000</v>
      </c>
      <c r="G31" s="550">
        <v>15105000</v>
      </c>
      <c r="H31" s="550">
        <v>15105000</v>
      </c>
      <c r="I31" s="550"/>
      <c r="J31" s="550">
        <v>15104999.1</v>
      </c>
      <c r="K31" s="550">
        <f t="shared" si="5"/>
        <v>0.9</v>
      </c>
    </row>
    <row r="32" spans="1:11" ht="24">
      <c r="A32" s="527"/>
      <c r="B32" s="270"/>
      <c r="C32" s="498" t="s">
        <v>616</v>
      </c>
      <c r="D32" s="548"/>
      <c r="E32" s="549">
        <v>1450000</v>
      </c>
      <c r="F32" s="550"/>
      <c r="G32" s="550"/>
      <c r="H32" s="550"/>
      <c r="I32" s="550"/>
      <c r="J32" s="550"/>
      <c r="K32" s="550">
        <f t="shared" si="5"/>
        <v>0</v>
      </c>
    </row>
    <row r="33" spans="1:11" ht="12" customHeight="1">
      <c r="A33" s="527"/>
      <c r="B33" s="270"/>
      <c r="C33" s="498" t="s">
        <v>617</v>
      </c>
      <c r="D33" s="548"/>
      <c r="E33" s="549">
        <v>9425000</v>
      </c>
      <c r="F33" s="550">
        <v>7818038</v>
      </c>
      <c r="G33" s="550">
        <v>7818038</v>
      </c>
      <c r="H33" s="550">
        <v>7818038</v>
      </c>
      <c r="I33" s="550"/>
      <c r="J33" s="550">
        <v>7083942.25</v>
      </c>
      <c r="K33" s="550">
        <f t="shared" si="5"/>
        <v>734095.75</v>
      </c>
    </row>
    <row r="34" spans="1:11" ht="12.75">
      <c r="A34" s="527"/>
      <c r="B34" s="270"/>
      <c r="C34" s="498" t="s">
        <v>618</v>
      </c>
      <c r="D34" s="548"/>
      <c r="E34" s="549">
        <v>3625000</v>
      </c>
      <c r="F34" s="550">
        <v>2269251</v>
      </c>
      <c r="G34" s="550">
        <v>2269251</v>
      </c>
      <c r="H34" s="550">
        <v>2269251</v>
      </c>
      <c r="I34" s="550"/>
      <c r="J34" s="550">
        <v>2151250</v>
      </c>
      <c r="K34" s="550">
        <f t="shared" si="5"/>
        <v>118001</v>
      </c>
    </row>
    <row r="35" spans="1:11" ht="15" customHeight="1">
      <c r="A35" s="527"/>
      <c r="B35" s="270"/>
      <c r="C35" s="498" t="s">
        <v>619</v>
      </c>
      <c r="D35" s="548"/>
      <c r="E35" s="549">
        <v>11347000</v>
      </c>
      <c r="F35" s="550">
        <v>6940850</v>
      </c>
      <c r="G35" s="550">
        <v>6940850</v>
      </c>
      <c r="H35" s="550">
        <v>6940850</v>
      </c>
      <c r="I35" s="550"/>
      <c r="J35" s="550">
        <v>6940850</v>
      </c>
      <c r="K35" s="550">
        <f t="shared" si="5"/>
        <v>0</v>
      </c>
    </row>
    <row r="36" spans="1:11" ht="24">
      <c r="A36" s="527"/>
      <c r="B36" s="270"/>
      <c r="C36" s="498" t="s">
        <v>620</v>
      </c>
      <c r="D36" s="548"/>
      <c r="E36" s="549">
        <v>26000</v>
      </c>
      <c r="F36" s="550">
        <v>9696</v>
      </c>
      <c r="G36" s="550">
        <v>9696</v>
      </c>
      <c r="H36" s="550">
        <v>9696</v>
      </c>
      <c r="I36" s="550"/>
      <c r="J36" s="550">
        <v>8358.34</v>
      </c>
      <c r="K36" s="550">
        <f t="shared" si="5"/>
        <v>1337.66</v>
      </c>
    </row>
    <row r="37" spans="1:11" ht="25.5">
      <c r="A37" s="527" t="s">
        <v>160</v>
      </c>
      <c r="B37" s="270">
        <v>10</v>
      </c>
      <c r="C37" s="267" t="s">
        <v>296</v>
      </c>
      <c r="D37" s="537"/>
      <c r="E37" s="538">
        <v>250000</v>
      </c>
      <c r="F37" s="539">
        <v>68482</v>
      </c>
      <c r="G37" s="539">
        <v>68482</v>
      </c>
      <c r="H37" s="539">
        <v>68482</v>
      </c>
      <c r="I37" s="539">
        <f>F37-G37</f>
        <v>0</v>
      </c>
      <c r="J37" s="539">
        <v>68307.26</v>
      </c>
      <c r="K37" s="539">
        <f t="shared" si="5"/>
        <v>174.74</v>
      </c>
    </row>
    <row r="38" spans="1:11" ht="36" customHeight="1">
      <c r="A38" s="527" t="s">
        <v>162</v>
      </c>
      <c r="B38" s="266">
        <v>11</v>
      </c>
      <c r="C38" s="267" t="s">
        <v>276</v>
      </c>
      <c r="D38" s="537"/>
      <c r="E38" s="538">
        <v>282800</v>
      </c>
      <c r="F38" s="539">
        <v>141400</v>
      </c>
      <c r="G38" s="539">
        <v>0</v>
      </c>
      <c r="H38" s="539">
        <v>0</v>
      </c>
      <c r="I38" s="539">
        <f>F38-G38</f>
        <v>141400</v>
      </c>
      <c r="J38" s="539">
        <v>0</v>
      </c>
      <c r="K38" s="539">
        <f t="shared" si="5"/>
        <v>0</v>
      </c>
    </row>
    <row r="39" spans="1:11" ht="25.5">
      <c r="A39" s="527" t="s">
        <v>184</v>
      </c>
      <c r="B39" s="268">
        <v>14</v>
      </c>
      <c r="C39" s="267" t="s">
        <v>301</v>
      </c>
      <c r="D39" s="537"/>
      <c r="E39" s="538">
        <v>85038</v>
      </c>
      <c r="F39" s="539">
        <v>47038</v>
      </c>
      <c r="G39" s="539">
        <v>47038</v>
      </c>
      <c r="H39" s="539">
        <v>44000</v>
      </c>
      <c r="I39" s="539">
        <f>F39-G39</f>
        <v>0</v>
      </c>
      <c r="J39" s="539">
        <v>19857.11</v>
      </c>
      <c r="K39" s="539">
        <f t="shared" si="5"/>
        <v>27180.89</v>
      </c>
    </row>
    <row r="40" spans="1:11" ht="36.75" customHeight="1">
      <c r="A40" s="527" t="s">
        <v>186</v>
      </c>
      <c r="B40" s="266">
        <v>15</v>
      </c>
      <c r="C40" s="267" t="s">
        <v>302</v>
      </c>
      <c r="D40" s="537"/>
      <c r="E40" s="538">
        <f aca="true" t="shared" si="7" ref="E40:J40">E41+E42</f>
        <v>4877849</v>
      </c>
      <c r="F40" s="539">
        <f t="shared" si="7"/>
        <v>1953000</v>
      </c>
      <c r="G40" s="539">
        <f t="shared" si="7"/>
        <v>1953000</v>
      </c>
      <c r="H40" s="539">
        <f t="shared" si="7"/>
        <v>1803000</v>
      </c>
      <c r="I40" s="539">
        <f t="shared" si="7"/>
        <v>0</v>
      </c>
      <c r="J40" s="539">
        <f t="shared" si="7"/>
        <v>1434106</v>
      </c>
      <c r="K40" s="539">
        <f t="shared" si="5"/>
        <v>518894</v>
      </c>
    </row>
    <row r="41" spans="1:11" ht="12.75">
      <c r="A41" s="527"/>
      <c r="B41" s="266"/>
      <c r="C41" s="279" t="s">
        <v>303</v>
      </c>
      <c r="D41" s="551"/>
      <c r="E41" s="552">
        <v>3835202</v>
      </c>
      <c r="F41" s="545">
        <v>1953000</v>
      </c>
      <c r="G41" s="545">
        <v>1953000</v>
      </c>
      <c r="H41" s="545">
        <v>1803000</v>
      </c>
      <c r="I41" s="539">
        <f aca="true" t="shared" si="8" ref="I41:I54">F41-G41</f>
        <v>0</v>
      </c>
      <c r="J41" s="539">
        <f>1433954+152</f>
        <v>1434106</v>
      </c>
      <c r="K41" s="539">
        <f t="shared" si="5"/>
        <v>518894</v>
      </c>
    </row>
    <row r="42" spans="1:11" ht="12.75">
      <c r="A42" s="527"/>
      <c r="B42" s="266"/>
      <c r="C42" s="279" t="s">
        <v>304</v>
      </c>
      <c r="D42" s="551"/>
      <c r="E42" s="552">
        <v>1042647</v>
      </c>
      <c r="F42" s="545"/>
      <c r="G42" s="545"/>
      <c r="H42" s="545"/>
      <c r="I42" s="539">
        <f t="shared" si="8"/>
        <v>0</v>
      </c>
      <c r="J42" s="539"/>
      <c r="K42" s="539">
        <f t="shared" si="5"/>
        <v>0</v>
      </c>
    </row>
    <row r="43" spans="1:11" ht="23.25" customHeight="1">
      <c r="A43" s="527" t="s">
        <v>186</v>
      </c>
      <c r="B43" s="266">
        <v>16</v>
      </c>
      <c r="C43" s="267" t="s">
        <v>305</v>
      </c>
      <c r="D43" s="537"/>
      <c r="E43" s="538">
        <v>7283000</v>
      </c>
      <c r="F43" s="539">
        <v>3700000</v>
      </c>
      <c r="G43" s="539">
        <v>3700000</v>
      </c>
      <c r="H43" s="539">
        <v>3700000</v>
      </c>
      <c r="I43" s="539">
        <f t="shared" si="8"/>
        <v>0</v>
      </c>
      <c r="J43" s="539">
        <v>2701407.1</v>
      </c>
      <c r="K43" s="539">
        <f t="shared" si="5"/>
        <v>998592.9</v>
      </c>
    </row>
    <row r="44" spans="1:11" ht="25.5" customHeight="1">
      <c r="A44" s="541" t="s">
        <v>186</v>
      </c>
      <c r="B44" s="266">
        <v>17</v>
      </c>
      <c r="C44" s="267" t="s">
        <v>277</v>
      </c>
      <c r="D44" s="537" t="s">
        <v>609</v>
      </c>
      <c r="E44" s="538">
        <v>9585000</v>
      </c>
      <c r="F44" s="539">
        <v>5655000</v>
      </c>
      <c r="G44" s="539">
        <v>5655000</v>
      </c>
      <c r="H44" s="539">
        <v>5655000</v>
      </c>
      <c r="I44" s="539">
        <f t="shared" si="8"/>
        <v>0</v>
      </c>
      <c r="J44" s="539">
        <v>4502001.96</v>
      </c>
      <c r="K44" s="539">
        <f t="shared" si="5"/>
        <v>1152998.04</v>
      </c>
    </row>
    <row r="45" spans="1:11" ht="23.25" customHeight="1">
      <c r="A45" s="541" t="s">
        <v>190</v>
      </c>
      <c r="B45" s="266">
        <v>18</v>
      </c>
      <c r="C45" s="267" t="s">
        <v>278</v>
      </c>
      <c r="D45" s="537" t="s">
        <v>609</v>
      </c>
      <c r="E45" s="538">
        <v>7440328</v>
      </c>
      <c r="F45" s="539">
        <v>3312327.53</v>
      </c>
      <c r="G45" s="539">
        <v>3312327.53</v>
      </c>
      <c r="H45" s="539">
        <v>2064000</v>
      </c>
      <c r="I45" s="539">
        <f t="shared" si="8"/>
        <v>0</v>
      </c>
      <c r="J45" s="539">
        <v>2475600</v>
      </c>
      <c r="K45" s="539">
        <f t="shared" si="5"/>
        <v>836727.53</v>
      </c>
    </row>
    <row r="46" spans="1:11" ht="47.25" customHeight="1">
      <c r="A46" s="541" t="s">
        <v>190</v>
      </c>
      <c r="B46" s="266">
        <v>19</v>
      </c>
      <c r="C46" s="267" t="s">
        <v>279</v>
      </c>
      <c r="D46" s="537"/>
      <c r="E46" s="538">
        <v>312000</v>
      </c>
      <c r="F46" s="539">
        <v>179000</v>
      </c>
      <c r="G46" s="539">
        <v>179000</v>
      </c>
      <c r="H46" s="539">
        <v>179000</v>
      </c>
      <c r="I46" s="539">
        <f t="shared" si="8"/>
        <v>0</v>
      </c>
      <c r="J46" s="539">
        <v>138160.49</v>
      </c>
      <c r="K46" s="539">
        <f t="shared" si="5"/>
        <v>40839.51</v>
      </c>
    </row>
    <row r="47" spans="1:11" ht="38.25">
      <c r="A47" s="527" t="s">
        <v>610</v>
      </c>
      <c r="B47" s="266">
        <v>20</v>
      </c>
      <c r="C47" s="267" t="s">
        <v>306</v>
      </c>
      <c r="D47" s="537"/>
      <c r="E47" s="538">
        <v>6332200</v>
      </c>
      <c r="F47" s="539">
        <v>3166100</v>
      </c>
      <c r="G47" s="539">
        <v>3166100</v>
      </c>
      <c r="H47" s="539">
        <v>3166100</v>
      </c>
      <c r="I47" s="539">
        <f t="shared" si="8"/>
        <v>0</v>
      </c>
      <c r="J47" s="539">
        <v>2994330.16</v>
      </c>
      <c r="K47" s="539">
        <f t="shared" si="5"/>
        <v>171769.84</v>
      </c>
    </row>
    <row r="48" spans="1:11" ht="25.5">
      <c r="A48" s="527" t="s">
        <v>610</v>
      </c>
      <c r="B48" s="266">
        <v>21</v>
      </c>
      <c r="C48" s="267" t="s">
        <v>312</v>
      </c>
      <c r="D48" s="537"/>
      <c r="E48" s="538">
        <v>16020076</v>
      </c>
      <c r="F48" s="539">
        <v>7790100</v>
      </c>
      <c r="G48" s="539">
        <v>7790100</v>
      </c>
      <c r="H48" s="539">
        <v>7539100</v>
      </c>
      <c r="I48" s="539">
        <f t="shared" si="8"/>
        <v>0</v>
      </c>
      <c r="J48" s="539">
        <v>7329412.01</v>
      </c>
      <c r="K48" s="539">
        <f t="shared" si="5"/>
        <v>460687.99</v>
      </c>
    </row>
    <row r="49" spans="1:11" ht="23.25" customHeight="1">
      <c r="A49" s="527" t="s">
        <v>621</v>
      </c>
      <c r="B49" s="268">
        <v>22</v>
      </c>
      <c r="C49" s="272" t="s">
        <v>622</v>
      </c>
      <c r="D49" s="265"/>
      <c r="E49" s="538">
        <v>1850000</v>
      </c>
      <c r="F49" s="539">
        <v>846000</v>
      </c>
      <c r="G49" s="539">
        <v>846000</v>
      </c>
      <c r="H49" s="539">
        <v>846000</v>
      </c>
      <c r="I49" s="539">
        <f t="shared" si="8"/>
        <v>0</v>
      </c>
      <c r="J49" s="539">
        <v>846000</v>
      </c>
      <c r="K49" s="539">
        <f t="shared" si="5"/>
        <v>0</v>
      </c>
    </row>
    <row r="50" spans="1:11" ht="26.25" customHeight="1">
      <c r="A50" s="541"/>
      <c r="B50" s="271">
        <v>23</v>
      </c>
      <c r="C50" s="272" t="s">
        <v>282</v>
      </c>
      <c r="D50" s="265"/>
      <c r="E50" s="539">
        <f>E51+E52+E53</f>
        <v>28636000</v>
      </c>
      <c r="F50" s="539">
        <f>F51+F52+F53</f>
        <v>15230000</v>
      </c>
      <c r="G50" s="539">
        <f>G51+G52+G53</f>
        <v>15230000</v>
      </c>
      <c r="H50" s="539">
        <f>H51+H52+H53</f>
        <v>15230000</v>
      </c>
      <c r="I50" s="539">
        <f t="shared" si="8"/>
        <v>0</v>
      </c>
      <c r="J50" s="539">
        <f>J51+J52+J53</f>
        <v>14477063.55</v>
      </c>
      <c r="K50" s="539">
        <f t="shared" si="5"/>
        <v>752936.45</v>
      </c>
    </row>
    <row r="51" spans="1:11" ht="12.75">
      <c r="A51" s="541" t="s">
        <v>186</v>
      </c>
      <c r="B51" s="271"/>
      <c r="C51" s="273" t="s">
        <v>283</v>
      </c>
      <c r="D51" s="274"/>
      <c r="E51" s="545">
        <v>5017000</v>
      </c>
      <c r="F51" s="545">
        <v>2849000</v>
      </c>
      <c r="G51" s="545">
        <v>2849000</v>
      </c>
      <c r="H51" s="545">
        <v>2849000</v>
      </c>
      <c r="I51" s="539">
        <f t="shared" si="8"/>
        <v>0</v>
      </c>
      <c r="J51" s="539">
        <v>2578075.77</v>
      </c>
      <c r="K51" s="539">
        <f t="shared" si="5"/>
        <v>270924.23</v>
      </c>
    </row>
    <row r="52" spans="1:11" ht="13.5" customHeight="1">
      <c r="A52" s="541" t="s">
        <v>186</v>
      </c>
      <c r="B52" s="271"/>
      <c r="C52" s="275" t="s">
        <v>284</v>
      </c>
      <c r="D52" s="553"/>
      <c r="E52" s="552">
        <v>6013000</v>
      </c>
      <c r="F52" s="545">
        <v>3577000</v>
      </c>
      <c r="G52" s="545">
        <v>3577000</v>
      </c>
      <c r="H52" s="545">
        <v>3577000</v>
      </c>
      <c r="I52" s="539">
        <f t="shared" si="8"/>
        <v>0</v>
      </c>
      <c r="J52" s="539">
        <v>3451312.45</v>
      </c>
      <c r="K52" s="539">
        <f t="shared" si="5"/>
        <v>125687.55</v>
      </c>
    </row>
    <row r="53" spans="1:11" ht="12.75">
      <c r="A53" s="541" t="s">
        <v>623</v>
      </c>
      <c r="B53" s="271"/>
      <c r="C53" s="275" t="s">
        <v>285</v>
      </c>
      <c r="D53" s="553"/>
      <c r="E53" s="552">
        <v>17606000</v>
      </c>
      <c r="F53" s="545">
        <v>8804000</v>
      </c>
      <c r="G53" s="545">
        <v>8804000</v>
      </c>
      <c r="H53" s="545">
        <v>8804000</v>
      </c>
      <c r="I53" s="539">
        <f t="shared" si="8"/>
        <v>0</v>
      </c>
      <c r="J53" s="539">
        <v>8447675.33</v>
      </c>
      <c r="K53" s="539">
        <f t="shared" si="5"/>
        <v>356324.67</v>
      </c>
    </row>
    <row r="54" spans="1:11" ht="48" customHeight="1">
      <c r="A54" s="527" t="s">
        <v>149</v>
      </c>
      <c r="B54" s="39">
        <v>24</v>
      </c>
      <c r="C54" s="277" t="s">
        <v>321</v>
      </c>
      <c r="D54" s="546"/>
      <c r="E54" s="538">
        <v>20300</v>
      </c>
      <c r="F54" s="539">
        <v>20300</v>
      </c>
      <c r="G54" s="539">
        <v>20300</v>
      </c>
      <c r="H54" s="539">
        <v>20300</v>
      </c>
      <c r="I54" s="539">
        <f t="shared" si="8"/>
        <v>0</v>
      </c>
      <c r="J54" s="539">
        <v>20300</v>
      </c>
      <c r="K54" s="539">
        <f t="shared" si="5"/>
        <v>0</v>
      </c>
    </row>
    <row r="55" spans="1:11" ht="38.25" customHeight="1">
      <c r="A55" s="527" t="s">
        <v>142</v>
      </c>
      <c r="B55" s="39">
        <v>25</v>
      </c>
      <c r="C55" s="277" t="s">
        <v>624</v>
      </c>
      <c r="D55" s="546"/>
      <c r="E55" s="538">
        <v>2200</v>
      </c>
      <c r="F55" s="539">
        <v>734</v>
      </c>
      <c r="G55" s="539">
        <v>734</v>
      </c>
      <c r="H55" s="539">
        <v>734</v>
      </c>
      <c r="I55" s="539"/>
      <c r="J55" s="539">
        <v>734</v>
      </c>
      <c r="K55" s="539">
        <f t="shared" si="5"/>
        <v>0</v>
      </c>
    </row>
    <row r="56" spans="1:11" s="283" customFormat="1" ht="14.25" customHeight="1">
      <c r="A56" s="554"/>
      <c r="B56" s="280"/>
      <c r="C56" s="281" t="s">
        <v>322</v>
      </c>
      <c r="D56" s="555"/>
      <c r="E56" s="282">
        <f>E49+E47+E43+E40+E39+E38+E37+E30+E29+E28+E27+E26+E25+E24+E23+E22+E48+E54+E50+E55+E44+E45+E46</f>
        <v>145612791</v>
      </c>
      <c r="F56" s="282">
        <f aca="true" t="shared" si="9" ref="F56:K56">F49+F47+F43+F40+F39+F38+F37+F30+F29+F28+F27+F26+F25+F24+F23+F22+F48+F54+F50+F55+F44+F45+F46</f>
        <v>76110616.53</v>
      </c>
      <c r="G56" s="282">
        <f t="shared" si="9"/>
        <v>75969216.53</v>
      </c>
      <c r="H56" s="282">
        <f t="shared" si="9"/>
        <v>74316851</v>
      </c>
      <c r="I56" s="282">
        <f t="shared" si="9"/>
        <v>141400</v>
      </c>
      <c r="J56" s="282">
        <f t="shared" si="9"/>
        <v>70139051.16</v>
      </c>
      <c r="K56" s="282">
        <f t="shared" si="9"/>
        <v>5830165.37</v>
      </c>
    </row>
    <row r="57" spans="1:11" s="8" customFormat="1" ht="14.25" customHeight="1">
      <c r="A57" s="556"/>
      <c r="B57" s="284">
        <v>1</v>
      </c>
      <c r="C57" s="277" t="s">
        <v>323</v>
      </c>
      <c r="D57" s="546"/>
      <c r="E57" s="538">
        <v>79693100</v>
      </c>
      <c r="F57" s="539"/>
      <c r="G57" s="539">
        <v>0</v>
      </c>
      <c r="H57" s="539">
        <v>0</v>
      </c>
      <c r="I57" s="539">
        <f aca="true" t="shared" si="10" ref="I57:I65">F57-G57</f>
        <v>0</v>
      </c>
      <c r="J57" s="539">
        <v>0</v>
      </c>
      <c r="K57" s="539">
        <f aca="true" t="shared" si="11" ref="K57:K64">G57-J57</f>
        <v>0</v>
      </c>
    </row>
    <row r="58" spans="1:11" ht="13.5" customHeight="1">
      <c r="A58" s="527"/>
      <c r="B58" s="266">
        <v>2</v>
      </c>
      <c r="C58" s="267" t="s">
        <v>324</v>
      </c>
      <c r="D58" s="537"/>
      <c r="E58" s="538">
        <v>65220157</v>
      </c>
      <c r="F58" s="539">
        <v>19188317</v>
      </c>
      <c r="G58" s="539">
        <v>19188317</v>
      </c>
      <c r="H58" s="539">
        <v>18611940</v>
      </c>
      <c r="I58" s="539">
        <f t="shared" si="10"/>
        <v>0</v>
      </c>
      <c r="J58" s="539">
        <v>16278747</v>
      </c>
      <c r="K58" s="539">
        <f t="shared" si="11"/>
        <v>2909570</v>
      </c>
    </row>
    <row r="59" spans="1:11" ht="12.75" customHeight="1">
      <c r="A59" s="541" t="s">
        <v>1021</v>
      </c>
      <c r="B59" s="266">
        <v>3</v>
      </c>
      <c r="C59" s="277" t="s">
        <v>625</v>
      </c>
      <c r="D59" s="546"/>
      <c r="E59" s="538">
        <v>8468000</v>
      </c>
      <c r="F59" s="539"/>
      <c r="G59" s="539"/>
      <c r="H59" s="539"/>
      <c r="I59" s="539">
        <f t="shared" si="10"/>
        <v>0</v>
      </c>
      <c r="J59" s="539"/>
      <c r="K59" s="539">
        <f>G59-J59</f>
        <v>0</v>
      </c>
    </row>
    <row r="60" spans="1:11" ht="25.5">
      <c r="A60" s="527" t="s">
        <v>165</v>
      </c>
      <c r="B60" s="270">
        <v>4</v>
      </c>
      <c r="C60" s="277" t="s">
        <v>329</v>
      </c>
      <c r="D60" s="537"/>
      <c r="E60" s="538">
        <v>742715</v>
      </c>
      <c r="F60" s="539">
        <v>462667</v>
      </c>
      <c r="G60" s="539">
        <v>742715</v>
      </c>
      <c r="H60" s="539">
        <v>462667</v>
      </c>
      <c r="I60" s="539">
        <f t="shared" si="10"/>
        <v>-280048</v>
      </c>
      <c r="J60" s="539">
        <v>0</v>
      </c>
      <c r="K60" s="539">
        <f>G60-J60</f>
        <v>742715</v>
      </c>
    </row>
    <row r="61" spans="1:11" ht="24" customHeight="1">
      <c r="A61" s="541" t="s">
        <v>169</v>
      </c>
      <c r="B61" s="266">
        <v>5</v>
      </c>
      <c r="C61" s="267" t="s">
        <v>327</v>
      </c>
      <c r="D61" s="537" t="s">
        <v>609</v>
      </c>
      <c r="E61" s="538">
        <v>1389100</v>
      </c>
      <c r="F61" s="538">
        <v>1389100</v>
      </c>
      <c r="G61" s="539">
        <v>1311179</v>
      </c>
      <c r="H61" s="539">
        <v>1311179</v>
      </c>
      <c r="I61" s="539">
        <f t="shared" si="10"/>
        <v>77921</v>
      </c>
      <c r="J61" s="539">
        <v>1097389</v>
      </c>
      <c r="K61" s="539">
        <f>G61-J61</f>
        <v>213790</v>
      </c>
    </row>
    <row r="62" spans="1:11" ht="24.75" customHeight="1">
      <c r="A62" s="541" t="s">
        <v>610</v>
      </c>
      <c r="B62" s="266">
        <v>6</v>
      </c>
      <c r="C62" s="267" t="s">
        <v>325</v>
      </c>
      <c r="D62" s="537"/>
      <c r="E62" s="538">
        <v>10617136</v>
      </c>
      <c r="F62" s="539">
        <v>1062136</v>
      </c>
      <c r="G62" s="539">
        <v>755547</v>
      </c>
      <c r="H62" s="539">
        <v>755547</v>
      </c>
      <c r="I62" s="539">
        <f t="shared" si="10"/>
        <v>306589</v>
      </c>
      <c r="J62" s="539">
        <v>755547</v>
      </c>
      <c r="K62" s="539">
        <f t="shared" si="11"/>
        <v>0</v>
      </c>
    </row>
    <row r="63" spans="1:11" ht="23.25" customHeight="1">
      <c r="A63" s="541" t="s">
        <v>610</v>
      </c>
      <c r="B63" s="266">
        <v>7</v>
      </c>
      <c r="C63" s="267" t="s">
        <v>326</v>
      </c>
      <c r="D63" s="537" t="s">
        <v>609</v>
      </c>
      <c r="E63" s="538">
        <v>465880</v>
      </c>
      <c r="F63" s="539">
        <v>465880</v>
      </c>
      <c r="G63" s="539">
        <v>331380</v>
      </c>
      <c r="H63" s="539">
        <v>331380</v>
      </c>
      <c r="I63" s="539">
        <f t="shared" si="10"/>
        <v>134500</v>
      </c>
      <c r="J63" s="539">
        <v>331380</v>
      </c>
      <c r="K63" s="539">
        <f t="shared" si="11"/>
        <v>0</v>
      </c>
    </row>
    <row r="64" spans="1:11" ht="25.5">
      <c r="A64" s="541" t="s">
        <v>610</v>
      </c>
      <c r="B64" s="266">
        <v>8</v>
      </c>
      <c r="C64" s="267" t="s">
        <v>328</v>
      </c>
      <c r="D64" s="537"/>
      <c r="E64" s="538">
        <v>2418667</v>
      </c>
      <c r="F64" s="538">
        <v>2418667</v>
      </c>
      <c r="G64" s="538">
        <v>2418667</v>
      </c>
      <c r="H64" s="538">
        <v>2418667</v>
      </c>
      <c r="I64" s="539">
        <f t="shared" si="10"/>
        <v>0</v>
      </c>
      <c r="J64" s="539">
        <v>1393000</v>
      </c>
      <c r="K64" s="539">
        <f t="shared" si="11"/>
        <v>1025667</v>
      </c>
    </row>
    <row r="65" spans="1:11" ht="36" customHeight="1">
      <c r="A65" s="527" t="s">
        <v>610</v>
      </c>
      <c r="B65" s="270">
        <v>9</v>
      </c>
      <c r="C65" s="277" t="s">
        <v>330</v>
      </c>
      <c r="D65" s="537"/>
      <c r="E65" s="538">
        <v>2517604</v>
      </c>
      <c r="F65" s="538">
        <v>2517604</v>
      </c>
      <c r="G65" s="538">
        <v>2517604</v>
      </c>
      <c r="H65" s="539">
        <v>0</v>
      </c>
      <c r="I65" s="539">
        <f t="shared" si="10"/>
        <v>0</v>
      </c>
      <c r="J65" s="539">
        <v>2209255</v>
      </c>
      <c r="K65" s="539">
        <f>G65-J65</f>
        <v>308349</v>
      </c>
    </row>
    <row r="66" spans="1:11" ht="22.5" customHeight="1">
      <c r="A66" s="40">
        <v>1003</v>
      </c>
      <c r="B66" s="40">
        <v>10</v>
      </c>
      <c r="C66" s="267" t="s">
        <v>313</v>
      </c>
      <c r="D66" s="537"/>
      <c r="E66" s="538">
        <f>E67+E68+E69</f>
        <v>1346000</v>
      </c>
      <c r="F66" s="538">
        <f aca="true" t="shared" si="12" ref="F66:K66">F67+F68+F69</f>
        <v>807600</v>
      </c>
      <c r="G66" s="538">
        <f t="shared" si="12"/>
        <v>807600</v>
      </c>
      <c r="H66" s="538">
        <f t="shared" si="12"/>
        <v>807600</v>
      </c>
      <c r="I66" s="538">
        <f t="shared" si="12"/>
        <v>0</v>
      </c>
      <c r="J66" s="538">
        <f t="shared" si="12"/>
        <v>189000</v>
      </c>
      <c r="K66" s="557">
        <f t="shared" si="12"/>
        <v>618600</v>
      </c>
    </row>
    <row r="67" spans="1:11" ht="11.25" customHeight="1">
      <c r="A67" s="40"/>
      <c r="B67" s="39"/>
      <c r="C67" s="279" t="s">
        <v>314</v>
      </c>
      <c r="D67" s="551"/>
      <c r="E67" s="552">
        <v>864000</v>
      </c>
      <c r="F67" s="539">
        <v>556700</v>
      </c>
      <c r="G67" s="539">
        <v>556700</v>
      </c>
      <c r="H67" s="539">
        <v>556700</v>
      </c>
      <c r="I67" s="539">
        <f aca="true" t="shared" si="13" ref="I67:I73">F67-G67</f>
        <v>0</v>
      </c>
      <c r="J67" s="539"/>
      <c r="K67" s="539">
        <f>G67-J67</f>
        <v>556700</v>
      </c>
    </row>
    <row r="68" spans="1:11" ht="11.25" customHeight="1">
      <c r="A68" s="40"/>
      <c r="B68" s="39"/>
      <c r="C68" s="279" t="s">
        <v>315</v>
      </c>
      <c r="D68" s="551"/>
      <c r="E68" s="552">
        <v>104000</v>
      </c>
      <c r="F68" s="539">
        <v>61900</v>
      </c>
      <c r="G68" s="539">
        <v>61900</v>
      </c>
      <c r="H68" s="539">
        <v>61900</v>
      </c>
      <c r="I68" s="539">
        <f t="shared" si="13"/>
        <v>0</v>
      </c>
      <c r="J68" s="539"/>
      <c r="K68" s="539">
        <f>G68-J68</f>
        <v>61900</v>
      </c>
    </row>
    <row r="69" spans="1:11" ht="12.75" customHeight="1">
      <c r="A69" s="40"/>
      <c r="B69" s="39"/>
      <c r="C69" s="279" t="s">
        <v>316</v>
      </c>
      <c r="D69" s="551"/>
      <c r="E69" s="552">
        <v>378000</v>
      </c>
      <c r="F69" s="539">
        <v>189000</v>
      </c>
      <c r="G69" s="539">
        <v>189000</v>
      </c>
      <c r="H69" s="539">
        <v>189000</v>
      </c>
      <c r="I69" s="539">
        <f t="shared" si="13"/>
        <v>0</v>
      </c>
      <c r="J69" s="539">
        <v>189000</v>
      </c>
      <c r="K69" s="539">
        <f>G69-J69</f>
        <v>0</v>
      </c>
    </row>
    <row r="70" spans="1:11" ht="27.75" customHeight="1">
      <c r="A70" s="40"/>
      <c r="B70" s="39">
        <v>11</v>
      </c>
      <c r="C70" s="277" t="s">
        <v>604</v>
      </c>
      <c r="D70" s="551"/>
      <c r="E70" s="549">
        <v>9594000</v>
      </c>
      <c r="F70" s="550">
        <v>9594000</v>
      </c>
      <c r="G70" s="550">
        <v>9594000</v>
      </c>
      <c r="H70" s="550">
        <v>9594000</v>
      </c>
      <c r="I70" s="539">
        <f t="shared" si="13"/>
        <v>0</v>
      </c>
      <c r="J70" s="539">
        <v>4300000</v>
      </c>
      <c r="K70" s="539">
        <f>K71+K72+K73</f>
        <v>5294000</v>
      </c>
    </row>
    <row r="71" spans="1:11" ht="12.75">
      <c r="A71" s="527" t="s">
        <v>182</v>
      </c>
      <c r="B71" s="39"/>
      <c r="C71" s="279" t="s">
        <v>314</v>
      </c>
      <c r="D71" s="551"/>
      <c r="E71" s="552">
        <v>3672600</v>
      </c>
      <c r="F71" s="552">
        <v>3672600</v>
      </c>
      <c r="G71" s="552">
        <v>3672600</v>
      </c>
      <c r="H71" s="552">
        <v>3672600</v>
      </c>
      <c r="I71" s="539">
        <f t="shared" si="13"/>
        <v>0</v>
      </c>
      <c r="J71" s="539">
        <v>1670000</v>
      </c>
      <c r="K71" s="539">
        <f>G71-J71</f>
        <v>2002600</v>
      </c>
    </row>
    <row r="72" spans="1:11" ht="12.75">
      <c r="A72" s="527" t="s">
        <v>192</v>
      </c>
      <c r="B72" s="39"/>
      <c r="C72" s="279" t="s">
        <v>315</v>
      </c>
      <c r="D72" s="551"/>
      <c r="E72" s="552">
        <v>1590000</v>
      </c>
      <c r="F72" s="552">
        <v>1590000</v>
      </c>
      <c r="G72" s="552">
        <v>1590000</v>
      </c>
      <c r="H72" s="552">
        <v>1590000</v>
      </c>
      <c r="I72" s="539">
        <f t="shared" si="13"/>
        <v>0</v>
      </c>
      <c r="J72" s="539">
        <v>720000</v>
      </c>
      <c r="K72" s="539">
        <f>G72-J72</f>
        <v>870000</v>
      </c>
    </row>
    <row r="73" spans="1:11" ht="12.75">
      <c r="A73" s="527" t="s">
        <v>199</v>
      </c>
      <c r="B73" s="39"/>
      <c r="C73" s="279" t="s">
        <v>316</v>
      </c>
      <c r="D73" s="551"/>
      <c r="E73" s="552">
        <v>4331400</v>
      </c>
      <c r="F73" s="552">
        <v>4331400</v>
      </c>
      <c r="G73" s="552">
        <v>4331400</v>
      </c>
      <c r="H73" s="552">
        <v>4331400</v>
      </c>
      <c r="I73" s="539">
        <f t="shared" si="13"/>
        <v>0</v>
      </c>
      <c r="J73" s="539">
        <v>1910000</v>
      </c>
      <c r="K73" s="539">
        <f>G73-J73</f>
        <v>2421400</v>
      </c>
    </row>
    <row r="74" spans="1:11" s="152" customFormat="1" ht="24" customHeight="1">
      <c r="A74" s="558"/>
      <c r="B74" s="285"/>
      <c r="C74" s="281" t="s">
        <v>309</v>
      </c>
      <c r="D74" s="555"/>
      <c r="E74" s="282">
        <f>SUM(E57:E66)+E70</f>
        <v>182472359</v>
      </c>
      <c r="F74" s="282">
        <f aca="true" t="shared" si="14" ref="F74:K74">SUM(F57:F66)+F70</f>
        <v>37905971</v>
      </c>
      <c r="G74" s="282">
        <f t="shared" si="14"/>
        <v>37667009</v>
      </c>
      <c r="H74" s="282">
        <f t="shared" si="14"/>
        <v>34292980</v>
      </c>
      <c r="I74" s="282">
        <f t="shared" si="14"/>
        <v>238962</v>
      </c>
      <c r="J74" s="282">
        <f t="shared" si="14"/>
        <v>26554318</v>
      </c>
      <c r="K74" s="282">
        <f t="shared" si="14"/>
        <v>11112691</v>
      </c>
    </row>
    <row r="75" spans="1:11" s="283" customFormat="1" ht="13.5" customHeight="1">
      <c r="A75" s="554"/>
      <c r="B75" s="286"/>
      <c r="C75" s="287" t="s">
        <v>308</v>
      </c>
      <c r="D75" s="559"/>
      <c r="E75" s="282">
        <f>E74+E16+E56+E21+E14</f>
        <v>625213957</v>
      </c>
      <c r="F75" s="282">
        <f aca="true" t="shared" si="15" ref="F75:K75">F74+F16+F56+F21+F14</f>
        <v>269807610.53</v>
      </c>
      <c r="G75" s="282">
        <f t="shared" si="15"/>
        <v>269857632.53</v>
      </c>
      <c r="H75" s="282">
        <f t="shared" si="15"/>
        <v>261354323</v>
      </c>
      <c r="I75" s="282">
        <f t="shared" si="15"/>
        <v>-1202872</v>
      </c>
      <c r="J75" s="282">
        <f t="shared" si="15"/>
        <v>245789922.33</v>
      </c>
      <c r="K75" s="282">
        <f t="shared" si="15"/>
        <v>24067710.2</v>
      </c>
    </row>
    <row r="76" ht="12.75">
      <c r="B76" s="263"/>
    </row>
    <row r="77" ht="12.75">
      <c r="B77" s="263"/>
    </row>
    <row r="78" ht="12.75">
      <c r="B78" s="263"/>
    </row>
    <row r="79" ht="12.75">
      <c r="B79" s="263"/>
    </row>
    <row r="80" ht="12.75">
      <c r="B80" s="263"/>
    </row>
    <row r="81" ht="12.75">
      <c r="B81" s="263"/>
    </row>
    <row r="82" ht="12.75">
      <c r="B82" s="263"/>
    </row>
    <row r="83" ht="12.75">
      <c r="B83" s="263"/>
    </row>
    <row r="84" ht="12.75">
      <c r="B84" s="263"/>
    </row>
    <row r="85" ht="12.75">
      <c r="B85" s="263"/>
    </row>
    <row r="86" ht="12.75">
      <c r="B86" s="263"/>
    </row>
    <row r="87" ht="12.75">
      <c r="B87" s="263"/>
    </row>
    <row r="88" ht="12.75">
      <c r="B88" s="263"/>
    </row>
    <row r="89" ht="12.75">
      <c r="B89" s="263"/>
    </row>
    <row r="90" ht="12.75">
      <c r="B90" s="263"/>
    </row>
    <row r="91" ht="12.75">
      <c r="B91" s="263"/>
    </row>
    <row r="92" ht="12.75">
      <c r="B92" s="263"/>
    </row>
    <row r="93" ht="12.75">
      <c r="B93" s="263"/>
    </row>
    <row r="94" ht="12.75">
      <c r="B94" s="263"/>
    </row>
    <row r="95" ht="12.75">
      <c r="B95" s="263"/>
    </row>
    <row r="96" ht="12.75">
      <c r="B96" s="263"/>
    </row>
    <row r="97" ht="12.75">
      <c r="B97" s="263"/>
    </row>
    <row r="98" ht="12.75">
      <c r="B98" s="263"/>
    </row>
    <row r="99" ht="12.75">
      <c r="B99" s="263"/>
    </row>
    <row r="100" ht="12.75">
      <c r="B100" s="263"/>
    </row>
    <row r="101" ht="12.75">
      <c r="B101" s="263"/>
    </row>
    <row r="102" ht="12.75">
      <c r="B102" s="263"/>
    </row>
    <row r="103" ht="12.75">
      <c r="B103" s="263"/>
    </row>
    <row r="104" ht="12.75">
      <c r="B104" s="263"/>
    </row>
    <row r="105" ht="12.75">
      <c r="B105" s="263"/>
    </row>
    <row r="106" ht="12.75">
      <c r="B106" s="263"/>
    </row>
    <row r="107" ht="12.75">
      <c r="B107" s="263"/>
    </row>
    <row r="108" ht="12.75">
      <c r="B108" s="263"/>
    </row>
    <row r="109" ht="12.75">
      <c r="B109" s="263"/>
    </row>
    <row r="110" ht="12.75">
      <c r="B110" s="263"/>
    </row>
    <row r="111" ht="12.75">
      <c r="B111" s="263"/>
    </row>
    <row r="112" ht="12.75">
      <c r="B112" s="263"/>
    </row>
    <row r="113" ht="12.75">
      <c r="B113" s="263"/>
    </row>
    <row r="114" ht="12.75">
      <c r="B114" s="263"/>
    </row>
    <row r="115" ht="12.75">
      <c r="B115" s="263"/>
    </row>
    <row r="116" ht="12.75">
      <c r="B116" s="263"/>
    </row>
    <row r="117" ht="12.75">
      <c r="B117" s="263"/>
    </row>
    <row r="118" ht="12.75">
      <c r="B118" s="263"/>
    </row>
    <row r="119" ht="12.75">
      <c r="B119" s="263"/>
    </row>
    <row r="120" ht="12.75">
      <c r="B120" s="263"/>
    </row>
    <row r="121" ht="12.75">
      <c r="B121" s="263"/>
    </row>
    <row r="122" ht="12.75">
      <c r="B122" s="263"/>
    </row>
    <row r="123" ht="12.75">
      <c r="B123" s="263"/>
    </row>
    <row r="124" ht="12.75">
      <c r="B124" s="263"/>
    </row>
    <row r="125" ht="12.75">
      <c r="B125" s="263"/>
    </row>
    <row r="126" ht="12.75">
      <c r="B126" s="263"/>
    </row>
    <row r="127" ht="12.75">
      <c r="B127" s="263"/>
    </row>
    <row r="128" ht="12.75">
      <c r="B128" s="263"/>
    </row>
    <row r="129" ht="12.75">
      <c r="B129" s="263"/>
    </row>
    <row r="130" ht="12.75">
      <c r="B130" s="263"/>
    </row>
    <row r="131" ht="12.75">
      <c r="B131" s="263"/>
    </row>
    <row r="132" ht="12.75">
      <c r="B132" s="263"/>
    </row>
    <row r="133" ht="12.75">
      <c r="B133" s="263"/>
    </row>
    <row r="134" ht="12.75">
      <c r="B134" s="263"/>
    </row>
    <row r="135" ht="12.75">
      <c r="B135" s="263"/>
    </row>
    <row r="136" ht="12.75">
      <c r="B136" s="263"/>
    </row>
    <row r="137" ht="12.75">
      <c r="B137" s="263"/>
    </row>
    <row r="138" ht="12.75">
      <c r="B138" s="263"/>
    </row>
    <row r="139" ht="12.75">
      <c r="B139" s="263"/>
    </row>
    <row r="140" ht="12.75">
      <c r="B140" s="263"/>
    </row>
    <row r="141" ht="12.75">
      <c r="B141" s="263"/>
    </row>
    <row r="142" ht="12.75">
      <c r="B142" s="263"/>
    </row>
  </sheetData>
  <mergeCells count="10">
    <mergeCell ref="J1:K1"/>
    <mergeCell ref="G5:H5"/>
    <mergeCell ref="I5:I6"/>
    <mergeCell ref="J5:J6"/>
    <mergeCell ref="K5:K6"/>
    <mergeCell ref="C3:K3"/>
    <mergeCell ref="C5:C6"/>
    <mergeCell ref="D5:D6"/>
    <mergeCell ref="E5:E6"/>
    <mergeCell ref="F5:F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22">
      <selection activeCell="B19" sqref="B19"/>
    </sheetView>
  </sheetViews>
  <sheetFormatPr defaultColWidth="9.140625" defaultRowHeight="12.75"/>
  <cols>
    <col min="1" max="1" width="4.421875" style="21" customWidth="1"/>
    <col min="2" max="2" width="23.28125" style="21" customWidth="1"/>
    <col min="3" max="3" width="12.28125" style="24" customWidth="1"/>
    <col min="4" max="4" width="13.140625" style="24" customWidth="1"/>
    <col min="5" max="5" width="13.8515625" style="24" customWidth="1"/>
    <col min="6" max="6" width="11.00390625" style="24" customWidth="1"/>
    <col min="7" max="7" width="11.421875" style="24" customWidth="1"/>
    <col min="8" max="16384" width="9.140625" style="21" customWidth="1"/>
  </cols>
  <sheetData>
    <row r="1" spans="6:7" ht="15.75">
      <c r="F1" s="693" t="s">
        <v>939</v>
      </c>
      <c r="G1" s="693"/>
    </row>
    <row r="2" ht="16.5" thickBot="1"/>
    <row r="3" spans="1:256" s="22" customFormat="1" ht="16.5" customHeight="1">
      <c r="A3" s="694" t="s">
        <v>982</v>
      </c>
      <c r="B3" s="694"/>
      <c r="C3" s="694"/>
      <c r="D3" s="694"/>
      <c r="E3" s="694"/>
      <c r="F3" s="694"/>
      <c r="G3" s="694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7" ht="18.75" customHeight="1">
      <c r="A4" s="694"/>
      <c r="B4" s="694"/>
      <c r="C4" s="694"/>
      <c r="D4" s="694"/>
      <c r="E4" s="694"/>
      <c r="F4" s="694"/>
      <c r="G4" s="694"/>
    </row>
    <row r="5" spans="1:7" ht="15.75">
      <c r="A5" s="23"/>
      <c r="B5" s="23"/>
      <c r="C5" s="23"/>
      <c r="D5" s="23"/>
      <c r="E5" s="23"/>
      <c r="F5" s="23"/>
      <c r="G5" s="216" t="s">
        <v>764</v>
      </c>
    </row>
    <row r="6" spans="1:7" ht="17.25" customHeight="1">
      <c r="A6" s="682" t="s">
        <v>743</v>
      </c>
      <c r="B6" s="685" t="s">
        <v>744</v>
      </c>
      <c r="C6" s="685" t="s">
        <v>811</v>
      </c>
      <c r="D6" s="685"/>
      <c r="E6" s="685" t="s">
        <v>812</v>
      </c>
      <c r="F6" s="679" t="s">
        <v>813</v>
      </c>
      <c r="G6" s="679"/>
    </row>
    <row r="7" spans="1:7" ht="10.5" customHeight="1">
      <c r="A7" s="683"/>
      <c r="B7" s="686"/>
      <c r="C7" s="685" t="s">
        <v>814</v>
      </c>
      <c r="D7" s="685" t="s">
        <v>815</v>
      </c>
      <c r="E7" s="685"/>
      <c r="F7" s="685" t="s">
        <v>816</v>
      </c>
      <c r="G7" s="685" t="s">
        <v>817</v>
      </c>
    </row>
    <row r="8" spans="1:7" ht="38.25" customHeight="1">
      <c r="A8" s="684"/>
      <c r="B8" s="686"/>
      <c r="C8" s="685"/>
      <c r="D8" s="685"/>
      <c r="E8" s="685"/>
      <c r="F8" s="685"/>
      <c r="G8" s="685"/>
    </row>
    <row r="9" spans="1:7" s="24" customFormat="1" ht="14.25" customHeight="1">
      <c r="A9" s="28"/>
      <c r="B9" s="27"/>
      <c r="C9" s="26"/>
      <c r="D9" s="26"/>
      <c r="E9" s="26"/>
      <c r="F9" s="217" t="s">
        <v>818</v>
      </c>
      <c r="G9" s="217" t="s">
        <v>819</v>
      </c>
    </row>
    <row r="10" spans="1:7" s="24" customFormat="1" ht="14.25" customHeight="1">
      <c r="A10" s="218">
        <v>1</v>
      </c>
      <c r="B10" s="219">
        <v>2</v>
      </c>
      <c r="C10" s="220">
        <v>3</v>
      </c>
      <c r="D10" s="220">
        <v>4</v>
      </c>
      <c r="E10" s="220">
        <v>5</v>
      </c>
      <c r="F10" s="220">
        <v>6</v>
      </c>
      <c r="G10" s="220">
        <v>7</v>
      </c>
    </row>
    <row r="11" spans="1:7" ht="15.75">
      <c r="A11" s="50">
        <v>1</v>
      </c>
      <c r="B11" s="221" t="s">
        <v>990</v>
      </c>
      <c r="C11" s="222">
        <v>613.5</v>
      </c>
      <c r="D11" s="222">
        <v>368.2</v>
      </c>
      <c r="E11" s="222">
        <v>368.2</v>
      </c>
      <c r="F11" s="223">
        <f>E11/C11*100</f>
        <v>60</v>
      </c>
      <c r="G11" s="222">
        <f>E11/D11*100</f>
        <v>100</v>
      </c>
    </row>
    <row r="12" spans="1:7" ht="15.75">
      <c r="A12" s="40">
        <v>2</v>
      </c>
      <c r="B12" s="221" t="s">
        <v>991</v>
      </c>
      <c r="C12" s="222"/>
      <c r="D12" s="222"/>
      <c r="E12" s="222"/>
      <c r="F12" s="223"/>
      <c r="G12" s="222"/>
    </row>
    <row r="13" spans="1:7" ht="15.75">
      <c r="A13" s="40">
        <v>3</v>
      </c>
      <c r="B13" s="221" t="s">
        <v>992</v>
      </c>
      <c r="C13" s="222"/>
      <c r="D13" s="222"/>
      <c r="E13" s="222"/>
      <c r="F13" s="223"/>
      <c r="G13" s="222"/>
    </row>
    <row r="14" spans="1:7" ht="15.75">
      <c r="A14" s="40">
        <v>4</v>
      </c>
      <c r="B14" s="221" t="s">
        <v>993</v>
      </c>
      <c r="C14" s="222">
        <v>2119.7</v>
      </c>
      <c r="D14" s="222">
        <v>1271.8</v>
      </c>
      <c r="E14" s="222">
        <v>1271.8</v>
      </c>
      <c r="F14" s="223">
        <f>E14/C14*100</f>
        <v>60</v>
      </c>
      <c r="G14" s="222">
        <f aca="true" t="shared" si="0" ref="G14:G32">E14/D14*100</f>
        <v>100</v>
      </c>
    </row>
    <row r="15" spans="1:7" ht="15.75">
      <c r="A15" s="40">
        <v>5</v>
      </c>
      <c r="B15" s="221" t="s">
        <v>994</v>
      </c>
      <c r="C15" s="222"/>
      <c r="D15" s="222"/>
      <c r="E15" s="222"/>
      <c r="F15" s="223"/>
      <c r="G15" s="222"/>
    </row>
    <row r="16" spans="1:7" ht="15.75">
      <c r="A16" s="40">
        <v>6</v>
      </c>
      <c r="B16" s="221" t="s">
        <v>995</v>
      </c>
      <c r="C16" s="222">
        <v>1490.1</v>
      </c>
      <c r="D16" s="222">
        <v>894</v>
      </c>
      <c r="E16" s="222">
        <v>894</v>
      </c>
      <c r="F16" s="223">
        <f>E16/C16*100</f>
        <v>60</v>
      </c>
      <c r="G16" s="222">
        <f t="shared" si="0"/>
        <v>100</v>
      </c>
    </row>
    <row r="17" spans="1:7" ht="15.75">
      <c r="A17" s="40">
        <v>7</v>
      </c>
      <c r="B17" s="221" t="s">
        <v>996</v>
      </c>
      <c r="C17" s="222">
        <v>3263.5</v>
      </c>
      <c r="D17" s="222">
        <v>1958.2</v>
      </c>
      <c r="E17" s="222">
        <v>1958.2</v>
      </c>
      <c r="F17" s="223">
        <f aca="true" t="shared" si="1" ref="F17:F32">E17/C17*100</f>
        <v>60</v>
      </c>
      <c r="G17" s="222">
        <f t="shared" si="0"/>
        <v>100</v>
      </c>
    </row>
    <row r="18" spans="1:7" ht="15.75">
      <c r="A18" s="40">
        <v>8</v>
      </c>
      <c r="B18" s="221" t="s">
        <v>997</v>
      </c>
      <c r="C18" s="222">
        <v>314.1</v>
      </c>
      <c r="D18" s="222">
        <v>188.4</v>
      </c>
      <c r="E18" s="222">
        <v>188.4</v>
      </c>
      <c r="F18" s="223">
        <f t="shared" si="1"/>
        <v>60</v>
      </c>
      <c r="G18" s="222">
        <f t="shared" si="0"/>
        <v>100</v>
      </c>
    </row>
    <row r="19" spans="1:7" ht="15.75">
      <c r="A19" s="40">
        <v>9</v>
      </c>
      <c r="B19" s="221" t="s">
        <v>998</v>
      </c>
      <c r="C19" s="222">
        <v>2679.4</v>
      </c>
      <c r="D19" s="222">
        <v>1607.6</v>
      </c>
      <c r="E19" s="222">
        <v>1607.6</v>
      </c>
      <c r="F19" s="223">
        <f t="shared" si="1"/>
        <v>60</v>
      </c>
      <c r="G19" s="222">
        <f t="shared" si="0"/>
        <v>100</v>
      </c>
    </row>
    <row r="20" spans="1:7" ht="15.75">
      <c r="A20" s="40">
        <v>10</v>
      </c>
      <c r="B20" s="221" t="s">
        <v>999</v>
      </c>
      <c r="C20" s="222">
        <v>1247.8</v>
      </c>
      <c r="D20" s="222">
        <v>748.6</v>
      </c>
      <c r="E20" s="222">
        <v>748.6</v>
      </c>
      <c r="F20" s="223">
        <f t="shared" si="1"/>
        <v>60</v>
      </c>
      <c r="G20" s="222">
        <f t="shared" si="0"/>
        <v>100</v>
      </c>
    </row>
    <row r="21" spans="1:7" ht="15.75">
      <c r="A21" s="40">
        <v>11</v>
      </c>
      <c r="B21" s="221" t="s">
        <v>1000</v>
      </c>
      <c r="C21" s="222">
        <v>870.5</v>
      </c>
      <c r="D21" s="222">
        <v>522.4</v>
      </c>
      <c r="E21" s="222">
        <v>522.4</v>
      </c>
      <c r="F21" s="223">
        <f t="shared" si="1"/>
        <v>60</v>
      </c>
      <c r="G21" s="222">
        <f t="shared" si="0"/>
        <v>100</v>
      </c>
    </row>
    <row r="22" spans="1:7" ht="15.75">
      <c r="A22" s="40">
        <v>12</v>
      </c>
      <c r="B22" s="221" t="s">
        <v>1001</v>
      </c>
      <c r="C22" s="222">
        <v>1403.5</v>
      </c>
      <c r="D22" s="222">
        <v>842.2</v>
      </c>
      <c r="E22" s="222">
        <v>842.2</v>
      </c>
      <c r="F22" s="223">
        <f>E22/C22*100</f>
        <v>60</v>
      </c>
      <c r="G22" s="222">
        <f>E22/D22*100</f>
        <v>100</v>
      </c>
    </row>
    <row r="23" spans="1:7" ht="15.75">
      <c r="A23" s="40">
        <v>13</v>
      </c>
      <c r="B23" s="221" t="s">
        <v>1002</v>
      </c>
      <c r="C23" s="222">
        <v>1267.7</v>
      </c>
      <c r="D23" s="222">
        <v>760.6</v>
      </c>
      <c r="E23" s="222">
        <v>760.6</v>
      </c>
      <c r="F23" s="223">
        <f t="shared" si="1"/>
        <v>60</v>
      </c>
      <c r="G23" s="222">
        <f t="shared" si="0"/>
        <v>100</v>
      </c>
    </row>
    <row r="24" spans="1:7" ht="15.75">
      <c r="A24" s="40">
        <v>14</v>
      </c>
      <c r="B24" s="221" t="s">
        <v>1003</v>
      </c>
      <c r="C24" s="222">
        <v>2348.7</v>
      </c>
      <c r="D24" s="222">
        <v>1409.2</v>
      </c>
      <c r="E24" s="222">
        <v>1409.2</v>
      </c>
      <c r="F24" s="223">
        <f t="shared" si="1"/>
        <v>60</v>
      </c>
      <c r="G24" s="222">
        <f t="shared" si="0"/>
        <v>100</v>
      </c>
    </row>
    <row r="25" spans="1:7" ht="15.75">
      <c r="A25" s="40">
        <v>15</v>
      </c>
      <c r="B25" s="221" t="s">
        <v>1004</v>
      </c>
      <c r="C25" s="222">
        <v>1277.8</v>
      </c>
      <c r="D25" s="222">
        <v>1277.8</v>
      </c>
      <c r="E25" s="222">
        <v>1277.8</v>
      </c>
      <c r="F25" s="223">
        <f>E25/C25*100</f>
        <v>100</v>
      </c>
      <c r="G25" s="222">
        <f>E25/D25*100</f>
        <v>100</v>
      </c>
    </row>
    <row r="26" spans="1:7" ht="15.75">
      <c r="A26" s="40">
        <v>16</v>
      </c>
      <c r="B26" s="221" t="s">
        <v>1005</v>
      </c>
      <c r="C26" s="222">
        <v>1746.5</v>
      </c>
      <c r="D26" s="222">
        <v>1048</v>
      </c>
      <c r="E26" s="222">
        <v>1048</v>
      </c>
      <c r="F26" s="223">
        <f t="shared" si="1"/>
        <v>60</v>
      </c>
      <c r="G26" s="222">
        <f t="shared" si="0"/>
        <v>100</v>
      </c>
    </row>
    <row r="27" spans="1:7" ht="15.75">
      <c r="A27" s="40">
        <v>17</v>
      </c>
      <c r="B27" s="221" t="s">
        <v>1006</v>
      </c>
      <c r="C27" s="222">
        <f>2705.7+160</f>
        <v>2865.7</v>
      </c>
      <c r="D27" s="222">
        <v>1783.4</v>
      </c>
      <c r="E27" s="222">
        <v>1783.4</v>
      </c>
      <c r="F27" s="223">
        <f t="shared" si="1"/>
        <v>62.2</v>
      </c>
      <c r="G27" s="222">
        <f t="shared" si="0"/>
        <v>100</v>
      </c>
    </row>
    <row r="28" spans="1:7" ht="15.75">
      <c r="A28" s="40">
        <v>18</v>
      </c>
      <c r="B28" s="221" t="s">
        <v>1007</v>
      </c>
      <c r="C28" s="222"/>
      <c r="D28" s="222"/>
      <c r="E28" s="222"/>
      <c r="F28" s="223"/>
      <c r="G28" s="222"/>
    </row>
    <row r="29" spans="1:7" ht="15.75">
      <c r="A29" s="40">
        <v>19</v>
      </c>
      <c r="B29" s="39" t="s">
        <v>1013</v>
      </c>
      <c r="C29" s="222"/>
      <c r="D29" s="222"/>
      <c r="E29" s="222"/>
      <c r="F29" s="223"/>
      <c r="G29" s="222"/>
    </row>
    <row r="30" spans="1:7" ht="15.75">
      <c r="A30" s="40">
        <v>20</v>
      </c>
      <c r="B30" s="221" t="s">
        <v>1008</v>
      </c>
      <c r="C30" s="222"/>
      <c r="D30" s="222"/>
      <c r="E30" s="222"/>
      <c r="F30" s="223"/>
      <c r="G30" s="222"/>
    </row>
    <row r="31" spans="1:7" ht="15.75">
      <c r="A31" s="40">
        <v>21</v>
      </c>
      <c r="B31" s="221" t="s">
        <v>1009</v>
      </c>
      <c r="C31" s="222"/>
      <c r="D31" s="222"/>
      <c r="E31" s="222"/>
      <c r="F31" s="223"/>
      <c r="G31" s="222"/>
    </row>
    <row r="32" spans="1:7" ht="15.75">
      <c r="A32" s="40">
        <v>22</v>
      </c>
      <c r="B32" s="221" t="s">
        <v>1010</v>
      </c>
      <c r="C32" s="222">
        <v>633.9</v>
      </c>
      <c r="D32" s="222">
        <v>380.4</v>
      </c>
      <c r="E32" s="222">
        <v>380.4</v>
      </c>
      <c r="F32" s="223">
        <f t="shared" si="1"/>
        <v>60</v>
      </c>
      <c r="G32" s="222">
        <f t="shared" si="0"/>
        <v>100</v>
      </c>
    </row>
    <row r="33" spans="1:7" ht="15.75">
      <c r="A33" s="40">
        <v>23</v>
      </c>
      <c r="B33" s="221" t="s">
        <v>1011</v>
      </c>
      <c r="C33" s="222">
        <v>341.5</v>
      </c>
      <c r="D33" s="222">
        <v>205</v>
      </c>
      <c r="E33" s="222">
        <v>205</v>
      </c>
      <c r="F33" s="223">
        <f>E33/C33*100</f>
        <v>60</v>
      </c>
      <c r="G33" s="222">
        <f>E33/D33*100</f>
        <v>100</v>
      </c>
    </row>
    <row r="34" spans="1:7" ht="15.75">
      <c r="A34" s="40">
        <v>24</v>
      </c>
      <c r="B34" s="39" t="s">
        <v>1012</v>
      </c>
      <c r="C34" s="222">
        <v>2204</v>
      </c>
      <c r="D34" s="222">
        <v>1322.4</v>
      </c>
      <c r="E34" s="222">
        <v>1322.4</v>
      </c>
      <c r="F34" s="223">
        <f>E34/C34*100</f>
        <v>60</v>
      </c>
      <c r="G34" s="222">
        <f>E34/D34*100</f>
        <v>100</v>
      </c>
    </row>
    <row r="35" spans="1:7" ht="15.75">
      <c r="A35" s="40">
        <v>25</v>
      </c>
      <c r="B35" s="39" t="s">
        <v>1014</v>
      </c>
      <c r="C35" s="222">
        <v>159.2</v>
      </c>
      <c r="D35" s="222">
        <v>95.6</v>
      </c>
      <c r="E35" s="222">
        <v>95.6</v>
      </c>
      <c r="F35" s="223">
        <f>E35/C35*100</f>
        <v>60.1</v>
      </c>
      <c r="G35" s="222">
        <f>E35/D35*100</f>
        <v>100</v>
      </c>
    </row>
    <row r="36" spans="1:7" ht="15.75">
      <c r="A36" s="40"/>
      <c r="B36" s="224" t="s">
        <v>241</v>
      </c>
      <c r="C36" s="225">
        <f>SUM(C11:C35)</f>
        <v>26847.1</v>
      </c>
      <c r="D36" s="225">
        <f>SUM(D11:D35)</f>
        <v>16683.8</v>
      </c>
      <c r="E36" s="225">
        <f>SUM(E11:E35)</f>
        <v>16683.8</v>
      </c>
      <c r="F36" s="226">
        <f>E36/C36*100</f>
        <v>62.1</v>
      </c>
      <c r="G36" s="225">
        <f>E36/D36*100</f>
        <v>100</v>
      </c>
    </row>
    <row r="37" spans="1:6" ht="15.75">
      <c r="A37" s="227"/>
      <c r="B37" s="94"/>
      <c r="F37" s="228"/>
    </row>
    <row r="38" spans="1:6" ht="15.75">
      <c r="A38" s="227"/>
      <c r="B38" s="94"/>
      <c r="F38" s="228"/>
    </row>
    <row r="40" spans="1:7" ht="15.75">
      <c r="A40" s="680" t="s">
        <v>762</v>
      </c>
      <c r="B40" s="680"/>
      <c r="C40" s="680"/>
      <c r="D40" s="680"/>
      <c r="E40" s="25"/>
      <c r="F40" s="680" t="s">
        <v>242</v>
      </c>
      <c r="G40" s="681"/>
    </row>
  </sheetData>
  <mergeCells count="13">
    <mergeCell ref="A40:D40"/>
    <mergeCell ref="F40:G40"/>
    <mergeCell ref="G7:G8"/>
    <mergeCell ref="F1:G1"/>
    <mergeCell ref="A3:G4"/>
    <mergeCell ref="A6:A8"/>
    <mergeCell ref="B6:B8"/>
    <mergeCell ref="C6:D6"/>
    <mergeCell ref="E6:E8"/>
    <mergeCell ref="F6:G6"/>
    <mergeCell ref="C7:C8"/>
    <mergeCell ref="D7:D8"/>
    <mergeCell ref="F7:F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F15" sqref="F15"/>
    </sheetView>
  </sheetViews>
  <sheetFormatPr defaultColWidth="9.140625" defaultRowHeight="12.75"/>
  <cols>
    <col min="1" max="1" width="3.28125" style="21" customWidth="1"/>
    <col min="2" max="2" width="23.28125" style="21" customWidth="1"/>
    <col min="3" max="3" width="10.28125" style="24" customWidth="1"/>
    <col min="4" max="4" width="12.8515625" style="21" customWidth="1"/>
    <col min="5" max="5" width="13.57421875" style="21" customWidth="1"/>
    <col min="6" max="6" width="12.00390625" style="21" customWidth="1"/>
    <col min="7" max="7" width="12.8515625" style="21" customWidth="1"/>
    <col min="8" max="16384" width="9.140625" style="21" customWidth="1"/>
  </cols>
  <sheetData>
    <row r="1" spans="6:7" ht="15.75">
      <c r="F1" s="693" t="s">
        <v>763</v>
      </c>
      <c r="G1" s="693"/>
    </row>
    <row r="2" ht="16.5" thickBot="1"/>
    <row r="3" spans="1:256" s="22" customFormat="1" ht="16.5" customHeight="1">
      <c r="A3" s="694" t="s">
        <v>291</v>
      </c>
      <c r="B3" s="694"/>
      <c r="C3" s="694"/>
      <c r="D3" s="694"/>
      <c r="E3" s="694"/>
      <c r="F3" s="694"/>
      <c r="G3" s="694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7" ht="18.75" customHeight="1">
      <c r="A4" s="694"/>
      <c r="B4" s="694"/>
      <c r="C4" s="694"/>
      <c r="D4" s="694"/>
      <c r="E4" s="694"/>
      <c r="F4" s="694"/>
      <c r="G4" s="694"/>
    </row>
    <row r="5" spans="1:7" ht="15.75">
      <c r="A5" s="23"/>
      <c r="B5" s="23"/>
      <c r="C5" s="23"/>
      <c r="D5" s="23"/>
      <c r="E5" s="23"/>
      <c r="F5" s="23"/>
      <c r="G5" s="99" t="s">
        <v>764</v>
      </c>
    </row>
    <row r="6" spans="1:7" ht="30" customHeight="1">
      <c r="A6" s="682" t="s">
        <v>743</v>
      </c>
      <c r="B6" s="685" t="s">
        <v>744</v>
      </c>
      <c r="C6" s="685" t="s">
        <v>811</v>
      </c>
      <c r="D6" s="685"/>
      <c r="E6" s="685" t="s">
        <v>812</v>
      </c>
      <c r="F6" s="679" t="s">
        <v>813</v>
      </c>
      <c r="G6" s="679"/>
    </row>
    <row r="7" spans="1:7" ht="10.5" customHeight="1">
      <c r="A7" s="683"/>
      <c r="B7" s="686"/>
      <c r="C7" s="685" t="s">
        <v>814</v>
      </c>
      <c r="D7" s="685" t="s">
        <v>815</v>
      </c>
      <c r="E7" s="685"/>
      <c r="F7" s="685" t="s">
        <v>816</v>
      </c>
      <c r="G7" s="685" t="s">
        <v>817</v>
      </c>
    </row>
    <row r="8" spans="1:7" ht="33.75" customHeight="1">
      <c r="A8" s="684"/>
      <c r="B8" s="686"/>
      <c r="C8" s="685"/>
      <c r="D8" s="685"/>
      <c r="E8" s="685"/>
      <c r="F8" s="685"/>
      <c r="G8" s="685"/>
    </row>
    <row r="9" spans="1:7" s="24" customFormat="1" ht="14.25" customHeight="1">
      <c r="A9" s="28"/>
      <c r="B9" s="27"/>
      <c r="C9" s="26"/>
      <c r="D9" s="26"/>
      <c r="E9" s="26"/>
      <c r="F9" s="26" t="s">
        <v>818</v>
      </c>
      <c r="G9" s="26" t="s">
        <v>819</v>
      </c>
    </row>
    <row r="10" spans="1:7" s="37" customFormat="1" ht="14.25" customHeight="1">
      <c r="A10" s="229">
        <v>1</v>
      </c>
      <c r="B10" s="230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</row>
    <row r="11" spans="1:7" ht="15.75">
      <c r="A11" s="50">
        <v>1</v>
      </c>
      <c r="B11" s="221" t="s">
        <v>990</v>
      </c>
      <c r="C11" s="222">
        <v>81.7</v>
      </c>
      <c r="D11" s="222">
        <v>29.04</v>
      </c>
      <c r="E11" s="222">
        <v>29.04</v>
      </c>
      <c r="F11" s="223">
        <f aca="true" t="shared" si="0" ref="F11:F27">E11/C11*100</f>
        <v>35.5</v>
      </c>
      <c r="G11" s="222">
        <f aca="true" t="shared" si="1" ref="G11:G27">E11/D11*100</f>
        <v>100</v>
      </c>
    </row>
    <row r="12" spans="1:7" ht="15.75">
      <c r="A12" s="40">
        <v>2</v>
      </c>
      <c r="B12" s="221" t="s">
        <v>991</v>
      </c>
      <c r="C12" s="222">
        <v>72.5</v>
      </c>
      <c r="D12" s="222">
        <v>56.5</v>
      </c>
      <c r="E12" s="222">
        <v>56.5</v>
      </c>
      <c r="F12" s="223">
        <f t="shared" si="0"/>
        <v>77.9</v>
      </c>
      <c r="G12" s="222">
        <f t="shared" si="1"/>
        <v>100</v>
      </c>
    </row>
    <row r="13" spans="1:7" ht="15.75">
      <c r="A13" s="40">
        <v>3</v>
      </c>
      <c r="B13" s="221" t="s">
        <v>992</v>
      </c>
      <c r="C13" s="222">
        <v>288.8</v>
      </c>
      <c r="D13" s="222">
        <v>106.265</v>
      </c>
      <c r="E13" s="222">
        <v>106.265</v>
      </c>
      <c r="F13" s="223">
        <f t="shared" si="0"/>
        <v>36.8</v>
      </c>
      <c r="G13" s="222">
        <f t="shared" si="1"/>
        <v>100</v>
      </c>
    </row>
    <row r="14" spans="1:7" ht="15.75">
      <c r="A14" s="40">
        <v>4</v>
      </c>
      <c r="B14" s="221" t="s">
        <v>993</v>
      </c>
      <c r="C14" s="222">
        <v>24.8</v>
      </c>
      <c r="D14" s="222">
        <v>9.92</v>
      </c>
      <c r="E14" s="222">
        <v>9.92</v>
      </c>
      <c r="F14" s="223">
        <f t="shared" si="0"/>
        <v>40</v>
      </c>
      <c r="G14" s="222">
        <f t="shared" si="1"/>
        <v>100</v>
      </c>
    </row>
    <row r="15" spans="1:7" ht="15.75">
      <c r="A15" s="40">
        <v>5</v>
      </c>
      <c r="B15" s="221" t="s">
        <v>994</v>
      </c>
      <c r="C15" s="222">
        <v>210</v>
      </c>
      <c r="D15" s="222">
        <v>147.16</v>
      </c>
      <c r="E15" s="222">
        <v>147.16</v>
      </c>
      <c r="F15" s="223">
        <f t="shared" si="0"/>
        <v>70.1</v>
      </c>
      <c r="G15" s="222">
        <f t="shared" si="1"/>
        <v>100</v>
      </c>
    </row>
    <row r="16" spans="1:7" ht="15.75">
      <c r="A16" s="40">
        <v>6</v>
      </c>
      <c r="B16" s="221" t="s">
        <v>995</v>
      </c>
      <c r="C16" s="222">
        <v>36.4</v>
      </c>
      <c r="D16" s="222">
        <v>14.56</v>
      </c>
      <c r="E16" s="222">
        <v>14.56</v>
      </c>
      <c r="F16" s="223">
        <f t="shared" si="0"/>
        <v>40</v>
      </c>
      <c r="G16" s="222">
        <f t="shared" si="1"/>
        <v>100</v>
      </c>
    </row>
    <row r="17" spans="1:7" ht="15.75">
      <c r="A17" s="40">
        <v>7</v>
      </c>
      <c r="B17" s="221" t="s">
        <v>996</v>
      </c>
      <c r="C17" s="222">
        <v>71.4</v>
      </c>
      <c r="D17" s="222">
        <v>24.99</v>
      </c>
      <c r="E17" s="222">
        <v>24.99</v>
      </c>
      <c r="F17" s="223">
        <f t="shared" si="0"/>
        <v>35</v>
      </c>
      <c r="G17" s="222">
        <f t="shared" si="1"/>
        <v>100</v>
      </c>
    </row>
    <row r="18" spans="1:7" ht="15.75">
      <c r="A18" s="40">
        <v>8</v>
      </c>
      <c r="B18" s="221" t="s">
        <v>997</v>
      </c>
      <c r="C18" s="222">
        <v>400.4</v>
      </c>
      <c r="D18" s="222">
        <v>112</v>
      </c>
      <c r="E18" s="222">
        <v>112</v>
      </c>
      <c r="F18" s="223">
        <f t="shared" si="0"/>
        <v>28</v>
      </c>
      <c r="G18" s="222">
        <f t="shared" si="1"/>
        <v>100</v>
      </c>
    </row>
    <row r="19" spans="1:7" ht="15.75">
      <c r="A19" s="40">
        <v>9</v>
      </c>
      <c r="B19" s="221" t="s">
        <v>998</v>
      </c>
      <c r="C19" s="222">
        <v>112.9</v>
      </c>
      <c r="D19" s="222">
        <v>45.16</v>
      </c>
      <c r="E19" s="222">
        <v>45.16</v>
      </c>
      <c r="F19" s="223">
        <f t="shared" si="0"/>
        <v>40</v>
      </c>
      <c r="G19" s="222">
        <f t="shared" si="1"/>
        <v>100</v>
      </c>
    </row>
    <row r="20" spans="1:7" ht="15.75">
      <c r="A20" s="40">
        <v>10</v>
      </c>
      <c r="B20" s="221" t="s">
        <v>999</v>
      </c>
      <c r="C20" s="222">
        <v>86</v>
      </c>
      <c r="D20" s="222">
        <v>68</v>
      </c>
      <c r="E20" s="222">
        <v>68</v>
      </c>
      <c r="F20" s="223">
        <f t="shared" si="0"/>
        <v>79.1</v>
      </c>
      <c r="G20" s="222">
        <f t="shared" si="1"/>
        <v>100</v>
      </c>
    </row>
    <row r="21" spans="1:7" ht="15.75">
      <c r="A21" s="40">
        <v>11</v>
      </c>
      <c r="B21" s="221" t="s">
        <v>1000</v>
      </c>
      <c r="C21" s="222">
        <v>40.4</v>
      </c>
      <c r="D21" s="222">
        <v>22.624</v>
      </c>
      <c r="E21" s="222">
        <v>22.624</v>
      </c>
      <c r="F21" s="223">
        <f t="shared" si="0"/>
        <v>56</v>
      </c>
      <c r="G21" s="222">
        <f t="shared" si="1"/>
        <v>100</v>
      </c>
    </row>
    <row r="22" spans="1:7" ht="15.75">
      <c r="A22" s="40">
        <v>12</v>
      </c>
      <c r="B22" s="221" t="s">
        <v>1001</v>
      </c>
      <c r="C22" s="222">
        <v>66.6</v>
      </c>
      <c r="D22" s="222">
        <v>29.97</v>
      </c>
      <c r="E22" s="222">
        <v>29.97</v>
      </c>
      <c r="F22" s="223">
        <f t="shared" si="0"/>
        <v>45</v>
      </c>
      <c r="G22" s="222">
        <f t="shared" si="1"/>
        <v>100</v>
      </c>
    </row>
    <row r="23" spans="1:7" ht="15.75">
      <c r="A23" s="40">
        <v>13</v>
      </c>
      <c r="B23" s="221" t="s">
        <v>1002</v>
      </c>
      <c r="C23" s="222">
        <v>65.7</v>
      </c>
      <c r="D23" s="222">
        <v>29.565</v>
      </c>
      <c r="E23" s="222">
        <v>29.565</v>
      </c>
      <c r="F23" s="223">
        <f t="shared" si="0"/>
        <v>45</v>
      </c>
      <c r="G23" s="222">
        <f t="shared" si="1"/>
        <v>100</v>
      </c>
    </row>
    <row r="24" spans="1:7" ht="15.75">
      <c r="A24" s="40">
        <v>14</v>
      </c>
      <c r="B24" s="221" t="s">
        <v>1003</v>
      </c>
      <c r="C24" s="222">
        <v>139.3</v>
      </c>
      <c r="D24" s="222">
        <v>55.72</v>
      </c>
      <c r="E24" s="222">
        <v>55.72</v>
      </c>
      <c r="F24" s="223">
        <f t="shared" si="0"/>
        <v>40</v>
      </c>
      <c r="G24" s="222">
        <f t="shared" si="1"/>
        <v>100</v>
      </c>
    </row>
    <row r="25" spans="1:7" ht="15.75">
      <c r="A25" s="40">
        <v>15</v>
      </c>
      <c r="B25" s="221" t="s">
        <v>1004</v>
      </c>
      <c r="C25" s="222">
        <v>12</v>
      </c>
      <c r="D25" s="222">
        <v>6</v>
      </c>
      <c r="E25" s="222">
        <v>6</v>
      </c>
      <c r="F25" s="223">
        <f t="shared" si="0"/>
        <v>50</v>
      </c>
      <c r="G25" s="222">
        <f t="shared" si="1"/>
        <v>100</v>
      </c>
    </row>
    <row r="26" spans="1:7" ht="15.75">
      <c r="A26" s="40">
        <v>16</v>
      </c>
      <c r="B26" s="221" t="s">
        <v>1005</v>
      </c>
      <c r="C26" s="222">
        <v>90.3</v>
      </c>
      <c r="D26" s="222">
        <v>36.12</v>
      </c>
      <c r="E26" s="222">
        <v>36.12</v>
      </c>
      <c r="F26" s="223">
        <f t="shared" si="0"/>
        <v>40</v>
      </c>
      <c r="G26" s="222">
        <f t="shared" si="1"/>
        <v>100</v>
      </c>
    </row>
    <row r="27" spans="1:7" ht="15.75">
      <c r="A27" s="40">
        <v>17</v>
      </c>
      <c r="B27" s="221" t="s">
        <v>1006</v>
      </c>
      <c r="C27" s="222">
        <v>65.8</v>
      </c>
      <c r="D27" s="222">
        <v>23.688</v>
      </c>
      <c r="E27" s="222">
        <v>23.688</v>
      </c>
      <c r="F27" s="223">
        <f t="shared" si="0"/>
        <v>36</v>
      </c>
      <c r="G27" s="222">
        <f t="shared" si="1"/>
        <v>100</v>
      </c>
    </row>
    <row r="28" spans="1:7" ht="15.75">
      <c r="A28" s="40">
        <v>18</v>
      </c>
      <c r="B28" s="221" t="s">
        <v>1007</v>
      </c>
      <c r="C28" s="222"/>
      <c r="D28" s="222"/>
      <c r="E28" s="222"/>
      <c r="F28" s="223"/>
      <c r="G28" s="222"/>
    </row>
    <row r="29" spans="1:7" ht="15.75">
      <c r="A29" s="40">
        <v>19</v>
      </c>
      <c r="B29" s="39" t="s">
        <v>1013</v>
      </c>
      <c r="C29" s="222">
        <v>24</v>
      </c>
      <c r="D29" s="222">
        <v>12</v>
      </c>
      <c r="E29" s="222">
        <v>12</v>
      </c>
      <c r="F29" s="223">
        <f>E29/C29*100</f>
        <v>50</v>
      </c>
      <c r="G29" s="222">
        <f>E29/D29*100</f>
        <v>100</v>
      </c>
    </row>
    <row r="30" spans="1:7" ht="15.75">
      <c r="A30" s="40">
        <v>20</v>
      </c>
      <c r="B30" s="221" t="s">
        <v>1008</v>
      </c>
      <c r="C30" s="222">
        <v>157.6</v>
      </c>
      <c r="D30" s="222">
        <v>78.8</v>
      </c>
      <c r="E30" s="222">
        <v>78.8</v>
      </c>
      <c r="F30" s="223">
        <f>E30/C30*100</f>
        <v>50</v>
      </c>
      <c r="G30" s="222">
        <f>E30/D30*100</f>
        <v>100</v>
      </c>
    </row>
    <row r="31" spans="1:7" ht="15.75">
      <c r="A31" s="40">
        <v>21</v>
      </c>
      <c r="B31" s="221" t="s">
        <v>1009</v>
      </c>
      <c r="C31" s="222">
        <v>97.3</v>
      </c>
      <c r="D31" s="222">
        <v>6</v>
      </c>
      <c r="E31" s="222">
        <v>6</v>
      </c>
      <c r="F31" s="223">
        <f>E31/C31*100</f>
        <v>6.2</v>
      </c>
      <c r="G31" s="222">
        <f>E31/D31*100</f>
        <v>100</v>
      </c>
    </row>
    <row r="32" spans="1:7" ht="15.75">
      <c r="A32" s="40">
        <v>22</v>
      </c>
      <c r="B32" s="221" t="s">
        <v>1010</v>
      </c>
      <c r="C32" s="222">
        <v>84.7</v>
      </c>
      <c r="D32" s="222">
        <v>33.88</v>
      </c>
      <c r="E32" s="222">
        <v>33.88</v>
      </c>
      <c r="F32" s="223">
        <f>E32/C32*100</f>
        <v>40</v>
      </c>
      <c r="G32" s="222">
        <f>E32/D32*100</f>
        <v>100</v>
      </c>
    </row>
    <row r="33" spans="1:7" ht="15.75">
      <c r="A33" s="40">
        <v>23</v>
      </c>
      <c r="B33" s="221" t="s">
        <v>1011</v>
      </c>
      <c r="C33" s="222"/>
      <c r="D33" s="222"/>
      <c r="E33" s="222"/>
      <c r="F33" s="223"/>
      <c r="G33" s="222"/>
    </row>
    <row r="34" spans="1:7" ht="15.75">
      <c r="A34" s="40">
        <v>24</v>
      </c>
      <c r="B34" s="39" t="s">
        <v>1012</v>
      </c>
      <c r="C34" s="222">
        <v>81</v>
      </c>
      <c r="D34" s="222">
        <v>81</v>
      </c>
      <c r="E34" s="222">
        <v>81</v>
      </c>
      <c r="F34" s="223">
        <f>E34/C34*100</f>
        <v>100</v>
      </c>
      <c r="G34" s="222">
        <f>E34/D34*100</f>
        <v>100</v>
      </c>
    </row>
    <row r="35" spans="1:7" ht="15.75">
      <c r="A35" s="40">
        <v>25</v>
      </c>
      <c r="B35" s="39" t="s">
        <v>1014</v>
      </c>
      <c r="C35" s="222">
        <v>383</v>
      </c>
      <c r="D35" s="222">
        <v>139.45</v>
      </c>
      <c r="E35" s="222">
        <v>139.45</v>
      </c>
      <c r="F35" s="223">
        <f>E35/C35*100</f>
        <v>36.4</v>
      </c>
      <c r="G35" s="222">
        <f>E35/D35*100</f>
        <v>100</v>
      </c>
    </row>
    <row r="36" spans="1:7" ht="15.75">
      <c r="A36" s="40"/>
      <c r="B36" s="224" t="s">
        <v>241</v>
      </c>
      <c r="C36" s="225">
        <f>SUM(C11:C35)</f>
        <v>2692.6</v>
      </c>
      <c r="D36" s="225">
        <f>SUM(D11:D35)</f>
        <v>1168.412</v>
      </c>
      <c r="E36" s="225">
        <f>SUM(E11:E35)</f>
        <v>1168.412</v>
      </c>
      <c r="F36" s="226">
        <f>E36/C36*100</f>
        <v>43.4</v>
      </c>
      <c r="G36" s="226">
        <f>E36/D36*100</f>
        <v>100</v>
      </c>
    </row>
    <row r="38" spans="1:7" ht="15.75">
      <c r="A38" s="680" t="s">
        <v>762</v>
      </c>
      <c r="B38" s="680"/>
      <c r="C38" s="680"/>
      <c r="D38" s="680"/>
      <c r="E38" s="751"/>
      <c r="F38" s="680" t="s">
        <v>243</v>
      </c>
      <c r="G38" s="681"/>
    </row>
  </sheetData>
  <mergeCells count="13">
    <mergeCell ref="A38:E38"/>
    <mergeCell ref="F38:G38"/>
    <mergeCell ref="G7:G8"/>
    <mergeCell ref="F1:G1"/>
    <mergeCell ref="A3:G4"/>
    <mergeCell ref="A6:A8"/>
    <mergeCell ref="B6:B8"/>
    <mergeCell ref="C6:D6"/>
    <mergeCell ref="E6:E8"/>
    <mergeCell ref="F6:G6"/>
    <mergeCell ref="C7:C8"/>
    <mergeCell ref="D7:D8"/>
    <mergeCell ref="F7:F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H11" sqref="H11"/>
    </sheetView>
  </sheetViews>
  <sheetFormatPr defaultColWidth="9.140625" defaultRowHeight="12.75"/>
  <cols>
    <col min="1" max="1" width="38.8515625" style="567" customWidth="1"/>
    <col min="2" max="2" width="11.28125" style="14" customWidth="1"/>
    <col min="3" max="3" width="12.28125" style="106" customWidth="1"/>
    <col min="4" max="4" width="12.57421875" style="106" customWidth="1"/>
    <col min="5" max="5" width="11.8515625" style="107" customWidth="1"/>
    <col min="6" max="7" width="9.140625" style="8" customWidth="1"/>
    <col min="8" max="8" width="13.140625" style="8" bestFit="1" customWidth="1"/>
    <col min="9" max="16384" width="9.140625" style="8" customWidth="1"/>
  </cols>
  <sheetData>
    <row r="1" spans="1:5" ht="12.75">
      <c r="A1" s="755" t="s">
        <v>789</v>
      </c>
      <c r="B1" s="755"/>
      <c r="C1" s="755"/>
      <c r="D1" s="755"/>
      <c r="E1" s="755"/>
    </row>
    <row r="2" spans="1:11" ht="6" customHeight="1">
      <c r="A2" s="566"/>
      <c r="F2" s="14"/>
      <c r="G2" s="14"/>
      <c r="H2" s="14"/>
      <c r="I2" s="14"/>
      <c r="J2" s="14"/>
      <c r="K2" s="14"/>
    </row>
    <row r="3" spans="1:11" ht="30" customHeight="1">
      <c r="A3" s="754" t="s">
        <v>983</v>
      </c>
      <c r="B3" s="754"/>
      <c r="C3" s="754"/>
      <c r="D3" s="754"/>
      <c r="E3" s="754"/>
      <c r="F3" s="108"/>
      <c r="G3" s="14"/>
      <c r="H3" s="108"/>
      <c r="I3" s="108"/>
      <c r="J3" s="14"/>
      <c r="K3" s="14"/>
    </row>
    <row r="4" ht="5.25" customHeight="1"/>
    <row r="5" spans="1:5" ht="12.75">
      <c r="A5" s="752" t="s">
        <v>255</v>
      </c>
      <c r="B5" s="752"/>
      <c r="C5" s="752"/>
      <c r="D5" s="752"/>
      <c r="E5" s="752"/>
    </row>
    <row r="6" spans="1:5" ht="80.25" customHeight="1">
      <c r="A6" s="568" t="s">
        <v>907</v>
      </c>
      <c r="B6" s="109" t="s">
        <v>1058</v>
      </c>
      <c r="C6" s="110" t="s">
        <v>1059</v>
      </c>
      <c r="D6" s="110" t="s">
        <v>1060</v>
      </c>
      <c r="E6" s="110" t="s">
        <v>908</v>
      </c>
    </row>
    <row r="7" spans="1:5" ht="24">
      <c r="A7" s="569" t="s">
        <v>1061</v>
      </c>
      <c r="B7" s="112">
        <v>205000</v>
      </c>
      <c r="C7" s="112"/>
      <c r="D7" s="112">
        <v>205000</v>
      </c>
      <c r="E7" s="110">
        <f>B7+C7-D7</f>
        <v>0</v>
      </c>
    </row>
    <row r="8" spans="1:5" ht="12.75">
      <c r="A8" s="569" t="s">
        <v>1062</v>
      </c>
      <c r="B8" s="112">
        <v>14080</v>
      </c>
      <c r="C8" s="112"/>
      <c r="D8" s="112">
        <v>14080</v>
      </c>
      <c r="E8" s="110">
        <f aca="true" t="shared" si="0" ref="E8:E71">B8+C8-D8</f>
        <v>0</v>
      </c>
    </row>
    <row r="9" spans="1:5" ht="12.75">
      <c r="A9" s="569" t="s">
        <v>1063</v>
      </c>
      <c r="B9" s="112"/>
      <c r="C9" s="112">
        <v>552595.61</v>
      </c>
      <c r="D9" s="112">
        <v>539539.55</v>
      </c>
      <c r="E9" s="110">
        <f t="shared" si="0"/>
        <v>13056.06</v>
      </c>
    </row>
    <row r="10" spans="1:5" ht="12.75">
      <c r="A10" s="569" t="s">
        <v>1064</v>
      </c>
      <c r="B10" s="112">
        <v>22969.8</v>
      </c>
      <c r="C10" s="112">
        <v>314293.66</v>
      </c>
      <c r="D10" s="112">
        <v>174926.4</v>
      </c>
      <c r="E10" s="110">
        <f t="shared" si="0"/>
        <v>162337.06</v>
      </c>
    </row>
    <row r="11" spans="1:5" ht="26.25" customHeight="1">
      <c r="A11" s="569" t="s">
        <v>1065</v>
      </c>
      <c r="B11" s="112">
        <v>12912.47</v>
      </c>
      <c r="C11" s="112">
        <v>590089.31</v>
      </c>
      <c r="D11" s="112">
        <v>575744.57</v>
      </c>
      <c r="E11" s="110">
        <f t="shared" si="0"/>
        <v>27257.21</v>
      </c>
    </row>
    <row r="12" spans="1:5" ht="12.75">
      <c r="A12" s="569" t="s">
        <v>1066</v>
      </c>
      <c r="B12" s="112">
        <v>64432.11</v>
      </c>
      <c r="C12" s="112">
        <v>957758.18</v>
      </c>
      <c r="D12" s="112">
        <v>809071.12</v>
      </c>
      <c r="E12" s="110">
        <f t="shared" si="0"/>
        <v>213119.17</v>
      </c>
    </row>
    <row r="13" spans="1:5" ht="12.75">
      <c r="A13" s="569" t="s">
        <v>1067</v>
      </c>
      <c r="B13" s="112">
        <v>127384.38</v>
      </c>
      <c r="C13" s="112">
        <v>943522.4</v>
      </c>
      <c r="D13" s="112">
        <v>643365.31</v>
      </c>
      <c r="E13" s="110">
        <f t="shared" si="0"/>
        <v>427541.47</v>
      </c>
    </row>
    <row r="14" spans="1:5" ht="12.75">
      <c r="A14" s="569" t="s">
        <v>1068</v>
      </c>
      <c r="B14" s="112">
        <v>43169.93</v>
      </c>
      <c r="C14" s="112">
        <v>53316.15</v>
      </c>
      <c r="D14" s="112">
        <v>78136.54</v>
      </c>
      <c r="E14" s="110">
        <f t="shared" si="0"/>
        <v>18349.54</v>
      </c>
    </row>
    <row r="15" spans="1:5" ht="12.75">
      <c r="A15" s="569" t="s">
        <v>1069</v>
      </c>
      <c r="B15" s="112">
        <v>5102.34</v>
      </c>
      <c r="C15" s="112">
        <v>995058.85</v>
      </c>
      <c r="D15" s="112">
        <v>918102.34</v>
      </c>
      <c r="E15" s="110">
        <f t="shared" si="0"/>
        <v>82058.85</v>
      </c>
    </row>
    <row r="16" spans="1:5" ht="12.75">
      <c r="A16" s="569" t="s">
        <v>1070</v>
      </c>
      <c r="B16" s="112">
        <v>74.44</v>
      </c>
      <c r="C16" s="112">
        <v>148134.87</v>
      </c>
      <c r="D16" s="112">
        <v>127212.28</v>
      </c>
      <c r="E16" s="110">
        <f t="shared" si="0"/>
        <v>20997.03</v>
      </c>
    </row>
    <row r="17" spans="1:5" ht="12.75">
      <c r="A17" s="569" t="s">
        <v>1071</v>
      </c>
      <c r="B17" s="112"/>
      <c r="C17" s="112">
        <v>693827.16</v>
      </c>
      <c r="D17" s="112">
        <v>314269.1</v>
      </c>
      <c r="E17" s="110">
        <f t="shared" si="0"/>
        <v>379558.06</v>
      </c>
    </row>
    <row r="18" spans="1:5" ht="12.75">
      <c r="A18" s="569" t="s">
        <v>1072</v>
      </c>
      <c r="B18" s="112">
        <v>10083.33</v>
      </c>
      <c r="C18" s="112">
        <v>330947.77</v>
      </c>
      <c r="D18" s="112">
        <v>322843.24</v>
      </c>
      <c r="E18" s="110">
        <f t="shared" si="0"/>
        <v>18187.86</v>
      </c>
    </row>
    <row r="19" spans="1:5" ht="12.75">
      <c r="A19" s="569" t="s">
        <v>1073</v>
      </c>
      <c r="B19" s="112">
        <v>4601.29</v>
      </c>
      <c r="C19" s="112">
        <v>176474.77</v>
      </c>
      <c r="D19" s="112">
        <v>107323.55</v>
      </c>
      <c r="E19" s="110">
        <f t="shared" si="0"/>
        <v>73752.51</v>
      </c>
    </row>
    <row r="20" spans="1:5" ht="24">
      <c r="A20" s="569" t="s">
        <v>1074</v>
      </c>
      <c r="B20" s="112">
        <v>36917.54</v>
      </c>
      <c r="C20" s="112">
        <v>374715.3</v>
      </c>
      <c r="D20" s="112">
        <v>384465.85</v>
      </c>
      <c r="E20" s="110">
        <f t="shared" si="0"/>
        <v>27166.99</v>
      </c>
    </row>
    <row r="21" spans="1:5" ht="12.75">
      <c r="A21" s="569" t="s">
        <v>1075</v>
      </c>
      <c r="B21" s="112">
        <v>14679.33</v>
      </c>
      <c r="C21" s="112">
        <v>752617.02</v>
      </c>
      <c r="D21" s="112">
        <v>548131.11</v>
      </c>
      <c r="E21" s="110">
        <f t="shared" si="0"/>
        <v>219165.24</v>
      </c>
    </row>
    <row r="22" spans="1:5" ht="12.75">
      <c r="A22" s="569" t="s">
        <v>1076</v>
      </c>
      <c r="B22" s="112">
        <v>14727.4</v>
      </c>
      <c r="C22" s="112">
        <v>614711.08</v>
      </c>
      <c r="D22" s="112">
        <v>485188.97</v>
      </c>
      <c r="E22" s="110">
        <f t="shared" si="0"/>
        <v>144249.51</v>
      </c>
    </row>
    <row r="23" spans="1:5" ht="12.75">
      <c r="A23" s="569" t="s">
        <v>1077</v>
      </c>
      <c r="B23" s="112">
        <v>88.2</v>
      </c>
      <c r="C23" s="112">
        <v>512150.59</v>
      </c>
      <c r="D23" s="112">
        <v>496619.56</v>
      </c>
      <c r="E23" s="110">
        <f t="shared" si="0"/>
        <v>15619.23</v>
      </c>
    </row>
    <row r="24" spans="1:5" ht="24">
      <c r="A24" s="569" t="s">
        <v>1078</v>
      </c>
      <c r="B24" s="112"/>
      <c r="C24" s="112">
        <v>221445.44</v>
      </c>
      <c r="D24" s="112">
        <v>210895.59</v>
      </c>
      <c r="E24" s="110">
        <f t="shared" si="0"/>
        <v>10549.85</v>
      </c>
    </row>
    <row r="25" spans="1:5" ht="18" customHeight="1">
      <c r="A25" s="569" t="s">
        <v>1079</v>
      </c>
      <c r="B25" s="112"/>
      <c r="C25" s="112">
        <v>680271.91</v>
      </c>
      <c r="D25" s="112">
        <v>512400.88</v>
      </c>
      <c r="E25" s="110">
        <f t="shared" si="0"/>
        <v>167871.03</v>
      </c>
    </row>
    <row r="26" spans="1:5" ht="24">
      <c r="A26" s="569" t="s">
        <v>1080</v>
      </c>
      <c r="B26" s="112"/>
      <c r="C26" s="112">
        <v>281400.29</v>
      </c>
      <c r="D26" s="112">
        <v>275009.84</v>
      </c>
      <c r="E26" s="110">
        <f t="shared" si="0"/>
        <v>6390.45</v>
      </c>
    </row>
    <row r="27" spans="1:5" ht="24">
      <c r="A27" s="569" t="s">
        <v>1081</v>
      </c>
      <c r="B27" s="112">
        <v>9932</v>
      </c>
      <c r="C27" s="112">
        <v>98596.28</v>
      </c>
      <c r="D27" s="112">
        <v>92074.82</v>
      </c>
      <c r="E27" s="110">
        <f t="shared" si="0"/>
        <v>16453.46</v>
      </c>
    </row>
    <row r="28" spans="1:5" ht="24">
      <c r="A28" s="569" t="s">
        <v>1082</v>
      </c>
      <c r="B28" s="112">
        <v>154.02</v>
      </c>
      <c r="C28" s="112">
        <v>169400.8</v>
      </c>
      <c r="D28" s="112">
        <v>142755.07</v>
      </c>
      <c r="E28" s="110">
        <f t="shared" si="0"/>
        <v>26799.75</v>
      </c>
    </row>
    <row r="29" spans="1:5" ht="24">
      <c r="A29" s="569" t="s">
        <v>1083</v>
      </c>
      <c r="B29" s="112"/>
      <c r="C29" s="112">
        <v>247555.18</v>
      </c>
      <c r="D29" s="112">
        <v>235210.68</v>
      </c>
      <c r="E29" s="110">
        <f t="shared" si="0"/>
        <v>12344.5</v>
      </c>
    </row>
    <row r="30" spans="1:5" ht="24">
      <c r="A30" s="569" t="s">
        <v>1084</v>
      </c>
      <c r="B30" s="112">
        <v>16616.53</v>
      </c>
      <c r="C30" s="112">
        <v>386599.83</v>
      </c>
      <c r="D30" s="112">
        <v>339123.17</v>
      </c>
      <c r="E30" s="110">
        <f t="shared" si="0"/>
        <v>64093.19</v>
      </c>
    </row>
    <row r="31" spans="1:5" ht="12.75">
      <c r="A31" s="569" t="s">
        <v>1085</v>
      </c>
      <c r="B31" s="112">
        <v>849.3</v>
      </c>
      <c r="C31" s="112">
        <v>11000</v>
      </c>
      <c r="D31" s="112"/>
      <c r="E31" s="110">
        <f t="shared" si="0"/>
        <v>11849.3</v>
      </c>
    </row>
    <row r="32" spans="1:5" ht="12.75">
      <c r="A32" s="569" t="s">
        <v>1086</v>
      </c>
      <c r="B32" s="112">
        <v>1000</v>
      </c>
      <c r="C32" s="112"/>
      <c r="D32" s="112">
        <v>1000</v>
      </c>
      <c r="E32" s="110">
        <f t="shared" si="0"/>
        <v>0</v>
      </c>
    </row>
    <row r="33" spans="1:5" ht="18" customHeight="1">
      <c r="A33" s="569" t="s">
        <v>1087</v>
      </c>
      <c r="B33" s="112">
        <v>3166.02</v>
      </c>
      <c r="C33" s="112">
        <v>78285</v>
      </c>
      <c r="D33" s="112">
        <v>73683.25</v>
      </c>
      <c r="E33" s="110">
        <f t="shared" si="0"/>
        <v>7767.77</v>
      </c>
    </row>
    <row r="34" spans="1:5" ht="12.75">
      <c r="A34" s="569" t="s">
        <v>0</v>
      </c>
      <c r="B34" s="112">
        <v>11088.28</v>
      </c>
      <c r="C34" s="112">
        <v>170931</v>
      </c>
      <c r="D34" s="112">
        <v>169016.39</v>
      </c>
      <c r="E34" s="110">
        <f t="shared" si="0"/>
        <v>13002.89</v>
      </c>
    </row>
    <row r="35" spans="1:5" ht="12.75">
      <c r="A35" s="569" t="s">
        <v>1</v>
      </c>
      <c r="B35" s="112">
        <v>14215.71</v>
      </c>
      <c r="C35" s="112">
        <v>252126</v>
      </c>
      <c r="D35" s="112">
        <v>253370.74</v>
      </c>
      <c r="E35" s="110">
        <f t="shared" si="0"/>
        <v>12970.97</v>
      </c>
    </row>
    <row r="36" spans="1:5" ht="24">
      <c r="A36" s="569" t="s">
        <v>2</v>
      </c>
      <c r="B36" s="112">
        <v>1454.92</v>
      </c>
      <c r="C36" s="112">
        <v>218943</v>
      </c>
      <c r="D36" s="112">
        <v>207731.29</v>
      </c>
      <c r="E36" s="110">
        <f t="shared" si="0"/>
        <v>12666.63</v>
      </c>
    </row>
    <row r="37" spans="1:5" ht="17.25" customHeight="1">
      <c r="A37" s="569" t="s">
        <v>3</v>
      </c>
      <c r="B37" s="112">
        <v>12513.86</v>
      </c>
      <c r="C37" s="112">
        <v>95989</v>
      </c>
      <c r="D37" s="112">
        <v>99773.61</v>
      </c>
      <c r="E37" s="110">
        <f t="shared" si="0"/>
        <v>8729.25</v>
      </c>
    </row>
    <row r="38" spans="1:5" ht="12.75">
      <c r="A38" s="569" t="s">
        <v>4</v>
      </c>
      <c r="B38" s="112">
        <v>16143.41</v>
      </c>
      <c r="C38" s="112">
        <v>186283</v>
      </c>
      <c r="D38" s="112">
        <v>195695.64</v>
      </c>
      <c r="E38" s="110">
        <f t="shared" si="0"/>
        <v>6730.77</v>
      </c>
    </row>
    <row r="39" spans="1:5" ht="12.75">
      <c r="A39" s="569" t="s">
        <v>5</v>
      </c>
      <c r="B39" s="112">
        <v>498.35</v>
      </c>
      <c r="C39" s="112">
        <v>267990</v>
      </c>
      <c r="D39" s="112">
        <v>265949.35</v>
      </c>
      <c r="E39" s="110">
        <f t="shared" si="0"/>
        <v>2539</v>
      </c>
    </row>
    <row r="40" spans="1:5" ht="12.75">
      <c r="A40" s="569" t="s">
        <v>6</v>
      </c>
      <c r="B40" s="112">
        <v>5064.03</v>
      </c>
      <c r="C40" s="112">
        <v>198216</v>
      </c>
      <c r="D40" s="112">
        <v>201942.58</v>
      </c>
      <c r="E40" s="110">
        <f t="shared" si="0"/>
        <v>1337.45</v>
      </c>
    </row>
    <row r="41" spans="1:5" ht="24">
      <c r="A41" s="569" t="s">
        <v>7</v>
      </c>
      <c r="B41" s="112">
        <v>292015.96</v>
      </c>
      <c r="C41" s="112">
        <v>259405.49</v>
      </c>
      <c r="D41" s="112">
        <v>415564.8</v>
      </c>
      <c r="E41" s="110">
        <f t="shared" si="0"/>
        <v>135856.65</v>
      </c>
    </row>
    <row r="42" spans="1:5" ht="24">
      <c r="A42" s="569" t="s">
        <v>8</v>
      </c>
      <c r="B42" s="112">
        <v>30694.59</v>
      </c>
      <c r="C42" s="112">
        <v>183410.39</v>
      </c>
      <c r="D42" s="112">
        <v>115869.85</v>
      </c>
      <c r="E42" s="110">
        <f t="shared" si="0"/>
        <v>98235.13</v>
      </c>
    </row>
    <row r="43" spans="1:5" ht="21" customHeight="1">
      <c r="A43" s="569" t="s">
        <v>9</v>
      </c>
      <c r="B43" s="112">
        <v>170821.56</v>
      </c>
      <c r="C43" s="112">
        <v>586699.75</v>
      </c>
      <c r="D43" s="112">
        <v>491787.81</v>
      </c>
      <c r="E43" s="110">
        <f t="shared" si="0"/>
        <v>265733.5</v>
      </c>
    </row>
    <row r="44" spans="1:5" ht="23.25" customHeight="1">
      <c r="A44" s="569" t="s">
        <v>10</v>
      </c>
      <c r="B44" s="112">
        <v>52920.93</v>
      </c>
      <c r="C44" s="112">
        <v>774939.74</v>
      </c>
      <c r="D44" s="112">
        <v>670666.76</v>
      </c>
      <c r="E44" s="110">
        <f t="shared" si="0"/>
        <v>157193.91</v>
      </c>
    </row>
    <row r="45" spans="1:5" ht="24">
      <c r="A45" s="569" t="s">
        <v>11</v>
      </c>
      <c r="B45" s="112">
        <v>497.47</v>
      </c>
      <c r="C45" s="112">
        <v>143754.91</v>
      </c>
      <c r="D45" s="112">
        <v>126258.12</v>
      </c>
      <c r="E45" s="110">
        <f t="shared" si="0"/>
        <v>17994.26</v>
      </c>
    </row>
    <row r="46" spans="1:5" ht="24" customHeight="1">
      <c r="A46" s="569" t="s">
        <v>12</v>
      </c>
      <c r="B46" s="112">
        <v>9604.53</v>
      </c>
      <c r="C46" s="112">
        <v>574485.57</v>
      </c>
      <c r="D46" s="112">
        <v>485885.1</v>
      </c>
      <c r="E46" s="110">
        <f t="shared" si="0"/>
        <v>98205</v>
      </c>
    </row>
    <row r="47" spans="1:5" ht="16.5" customHeight="1">
      <c r="A47" s="569" t="s">
        <v>13</v>
      </c>
      <c r="B47" s="112">
        <v>4302.6</v>
      </c>
      <c r="C47" s="112">
        <v>197670.73</v>
      </c>
      <c r="D47" s="112">
        <v>157937.9</v>
      </c>
      <c r="E47" s="110">
        <f t="shared" si="0"/>
        <v>44035.43</v>
      </c>
    </row>
    <row r="48" spans="1:5" ht="24">
      <c r="A48" s="569" t="s">
        <v>14</v>
      </c>
      <c r="B48" s="112">
        <v>160668.98</v>
      </c>
      <c r="C48" s="112">
        <v>405292</v>
      </c>
      <c r="D48" s="112">
        <v>248205.9</v>
      </c>
      <c r="E48" s="110">
        <f t="shared" si="0"/>
        <v>317755.08</v>
      </c>
    </row>
    <row r="49" spans="1:5" ht="18.75" customHeight="1">
      <c r="A49" s="569" t="s">
        <v>15</v>
      </c>
      <c r="B49" s="112">
        <v>17892.33</v>
      </c>
      <c r="C49" s="112">
        <v>253104.01</v>
      </c>
      <c r="D49" s="112">
        <v>270996.34</v>
      </c>
      <c r="E49" s="110">
        <f t="shared" si="0"/>
        <v>0</v>
      </c>
    </row>
    <row r="50" spans="1:5" ht="24">
      <c r="A50" s="569" t="s">
        <v>16</v>
      </c>
      <c r="B50" s="112">
        <v>13301.54</v>
      </c>
      <c r="C50" s="112">
        <v>165258.14</v>
      </c>
      <c r="D50" s="112">
        <v>91815.86</v>
      </c>
      <c r="E50" s="110">
        <f t="shared" si="0"/>
        <v>86743.82</v>
      </c>
    </row>
    <row r="51" spans="1:5" ht="24">
      <c r="A51" s="569" t="s">
        <v>17</v>
      </c>
      <c r="B51" s="112">
        <v>34550.84</v>
      </c>
      <c r="C51" s="112">
        <v>553028.97</v>
      </c>
      <c r="D51" s="112">
        <v>506917.24</v>
      </c>
      <c r="E51" s="110">
        <f t="shared" si="0"/>
        <v>80662.57</v>
      </c>
    </row>
    <row r="52" spans="1:5" ht="24">
      <c r="A52" s="569" t="s">
        <v>18</v>
      </c>
      <c r="B52" s="112">
        <v>11053.8</v>
      </c>
      <c r="C52" s="112">
        <v>289335.89</v>
      </c>
      <c r="D52" s="112">
        <v>249008.06</v>
      </c>
      <c r="E52" s="110">
        <f t="shared" si="0"/>
        <v>51381.63</v>
      </c>
    </row>
    <row r="53" spans="1:5" ht="24">
      <c r="A53" s="569" t="s">
        <v>19</v>
      </c>
      <c r="B53" s="112">
        <v>3674.95</v>
      </c>
      <c r="C53" s="112">
        <v>286012.25</v>
      </c>
      <c r="D53" s="112">
        <v>149982.63</v>
      </c>
      <c r="E53" s="110">
        <f t="shared" si="0"/>
        <v>139704.57</v>
      </c>
    </row>
    <row r="54" spans="1:5" ht="24">
      <c r="A54" s="569" t="s">
        <v>20</v>
      </c>
      <c r="B54" s="112">
        <v>62845.95</v>
      </c>
      <c r="C54" s="112">
        <v>321290.27</v>
      </c>
      <c r="D54" s="112">
        <v>307389.42</v>
      </c>
      <c r="E54" s="110">
        <f t="shared" si="0"/>
        <v>76746.8</v>
      </c>
    </row>
    <row r="55" spans="1:5" ht="22.5" customHeight="1">
      <c r="A55" s="569" t="s">
        <v>21</v>
      </c>
      <c r="B55" s="112"/>
      <c r="C55" s="112">
        <v>204795.2</v>
      </c>
      <c r="D55" s="112">
        <v>154196.83</v>
      </c>
      <c r="E55" s="110">
        <f t="shared" si="0"/>
        <v>50598.37</v>
      </c>
    </row>
    <row r="56" spans="1:5" ht="24">
      <c r="A56" s="569" t="s">
        <v>22</v>
      </c>
      <c r="B56" s="112">
        <v>13124.49</v>
      </c>
      <c r="C56" s="112">
        <v>447517</v>
      </c>
      <c r="D56" s="112">
        <v>102634.92</v>
      </c>
      <c r="E56" s="110">
        <f t="shared" si="0"/>
        <v>358006.57</v>
      </c>
    </row>
    <row r="57" spans="1:5" ht="24">
      <c r="A57" s="569" t="s">
        <v>23</v>
      </c>
      <c r="B57" s="112">
        <v>10711.13</v>
      </c>
      <c r="C57" s="112">
        <v>155031.22</v>
      </c>
      <c r="D57" s="112">
        <v>162455.26</v>
      </c>
      <c r="E57" s="110">
        <f t="shared" si="0"/>
        <v>3287.09</v>
      </c>
    </row>
    <row r="58" spans="1:5" ht="21" customHeight="1">
      <c r="A58" s="569" t="s">
        <v>24</v>
      </c>
      <c r="B58" s="112">
        <v>1112.99</v>
      </c>
      <c r="C58" s="112">
        <v>588714.9</v>
      </c>
      <c r="D58" s="112">
        <v>349210.7</v>
      </c>
      <c r="E58" s="110">
        <f t="shared" si="0"/>
        <v>240617.19</v>
      </c>
    </row>
    <row r="59" spans="1:5" ht="24">
      <c r="A59" s="569" t="s">
        <v>25</v>
      </c>
      <c r="B59" s="112">
        <v>29.64</v>
      </c>
      <c r="C59" s="112">
        <v>225696.55</v>
      </c>
      <c r="D59" s="112">
        <v>145566.9</v>
      </c>
      <c r="E59" s="110">
        <f t="shared" si="0"/>
        <v>80159.29</v>
      </c>
    </row>
    <row r="60" spans="1:5" ht="20.25" customHeight="1">
      <c r="A60" s="569" t="s">
        <v>26</v>
      </c>
      <c r="B60" s="112"/>
      <c r="C60" s="112">
        <v>87046.81</v>
      </c>
      <c r="D60" s="112">
        <v>71847</v>
      </c>
      <c r="E60" s="110">
        <f t="shared" si="0"/>
        <v>15199.81</v>
      </c>
    </row>
    <row r="61" spans="1:5" ht="24">
      <c r="A61" s="569" t="s">
        <v>27</v>
      </c>
      <c r="B61" s="112">
        <v>17681.24</v>
      </c>
      <c r="C61" s="112">
        <v>737733.95</v>
      </c>
      <c r="D61" s="112">
        <v>649474.32</v>
      </c>
      <c r="E61" s="110">
        <f t="shared" si="0"/>
        <v>105940.87</v>
      </c>
    </row>
    <row r="62" spans="1:5" ht="24">
      <c r="A62" s="569" t="s">
        <v>28</v>
      </c>
      <c r="B62" s="112">
        <v>31243.75</v>
      </c>
      <c r="C62" s="112">
        <v>511705.24</v>
      </c>
      <c r="D62" s="112">
        <v>500860.27</v>
      </c>
      <c r="E62" s="110">
        <f t="shared" si="0"/>
        <v>42088.72</v>
      </c>
    </row>
    <row r="63" spans="1:5" ht="17.25" customHeight="1">
      <c r="A63" s="569" t="s">
        <v>29</v>
      </c>
      <c r="B63" s="112">
        <v>13046.59</v>
      </c>
      <c r="C63" s="112">
        <v>207648.53</v>
      </c>
      <c r="D63" s="112">
        <v>184736.79</v>
      </c>
      <c r="E63" s="110">
        <f t="shared" si="0"/>
        <v>35958.33</v>
      </c>
    </row>
    <row r="64" spans="1:5" ht="24">
      <c r="A64" s="569" t="s">
        <v>30</v>
      </c>
      <c r="B64" s="112">
        <v>21002.4</v>
      </c>
      <c r="C64" s="112">
        <v>910315.6</v>
      </c>
      <c r="D64" s="112">
        <v>703966.22</v>
      </c>
      <c r="E64" s="110">
        <f t="shared" si="0"/>
        <v>227351.78</v>
      </c>
    </row>
    <row r="65" spans="1:5" ht="17.25" customHeight="1">
      <c r="A65" s="569" t="s">
        <v>31</v>
      </c>
      <c r="B65" s="112"/>
      <c r="C65" s="112">
        <v>447954.28</v>
      </c>
      <c r="D65" s="112">
        <v>193603.85</v>
      </c>
      <c r="E65" s="110">
        <f t="shared" si="0"/>
        <v>254350.43</v>
      </c>
    </row>
    <row r="66" spans="1:5" ht="12.75">
      <c r="A66" s="569" t="s">
        <v>32</v>
      </c>
      <c r="B66" s="112">
        <v>118056.22</v>
      </c>
      <c r="C66" s="112">
        <v>39119.63</v>
      </c>
      <c r="D66" s="112">
        <v>33886.14</v>
      </c>
      <c r="E66" s="110">
        <f t="shared" si="0"/>
        <v>123289.71</v>
      </c>
    </row>
    <row r="67" spans="1:5" ht="12.75">
      <c r="A67" s="569" t="s">
        <v>33</v>
      </c>
      <c r="B67" s="112">
        <v>55.31</v>
      </c>
      <c r="C67" s="112">
        <v>25979</v>
      </c>
      <c r="D67" s="112">
        <v>24843.9</v>
      </c>
      <c r="E67" s="110">
        <f t="shared" si="0"/>
        <v>1190.41</v>
      </c>
    </row>
    <row r="68" spans="1:5" ht="17.25" customHeight="1">
      <c r="A68" s="569" t="s">
        <v>34</v>
      </c>
      <c r="B68" s="112">
        <v>2766.92</v>
      </c>
      <c r="C68" s="112">
        <v>-900</v>
      </c>
      <c r="D68" s="112">
        <v>72.54</v>
      </c>
      <c r="E68" s="110">
        <f t="shared" si="0"/>
        <v>1794.38</v>
      </c>
    </row>
    <row r="69" spans="1:5" ht="24">
      <c r="A69" s="569" t="s">
        <v>35</v>
      </c>
      <c r="B69" s="112">
        <v>815167.96</v>
      </c>
      <c r="C69" s="112">
        <v>3713542.48</v>
      </c>
      <c r="D69" s="112">
        <v>4442464.71</v>
      </c>
      <c r="E69" s="110">
        <f t="shared" si="0"/>
        <v>86245.73</v>
      </c>
    </row>
    <row r="70" spans="1:5" ht="24">
      <c r="A70" s="569" t="s">
        <v>36</v>
      </c>
      <c r="B70" s="112">
        <v>100031.89</v>
      </c>
      <c r="C70" s="112">
        <v>530782.92</v>
      </c>
      <c r="D70" s="112">
        <v>527467.67</v>
      </c>
      <c r="E70" s="110">
        <f t="shared" si="0"/>
        <v>103347.14</v>
      </c>
    </row>
    <row r="71" spans="1:5" ht="12.75">
      <c r="A71" s="569" t="s">
        <v>37</v>
      </c>
      <c r="B71" s="112">
        <v>50000</v>
      </c>
      <c r="C71" s="112"/>
      <c r="D71" s="112">
        <v>50000</v>
      </c>
      <c r="E71" s="110">
        <f t="shared" si="0"/>
        <v>0</v>
      </c>
    </row>
    <row r="72" spans="1:5" ht="12.75">
      <c r="A72" s="569" t="s">
        <v>38</v>
      </c>
      <c r="B72" s="112">
        <v>215614.75</v>
      </c>
      <c r="C72" s="112">
        <v>817683.22</v>
      </c>
      <c r="D72" s="112">
        <v>789996.72</v>
      </c>
      <c r="E72" s="110">
        <f aca="true" t="shared" si="1" ref="E72:E80">B72+C72-D72</f>
        <v>243301.25</v>
      </c>
    </row>
    <row r="73" spans="1:5" ht="12.75">
      <c r="A73" s="569" t="s">
        <v>39</v>
      </c>
      <c r="B73" s="112">
        <v>39340.58</v>
      </c>
      <c r="C73" s="112">
        <v>2079763.83</v>
      </c>
      <c r="D73" s="112">
        <v>1745775.77</v>
      </c>
      <c r="E73" s="110">
        <f t="shared" si="1"/>
        <v>373328.64</v>
      </c>
    </row>
    <row r="74" spans="1:5" ht="12.75">
      <c r="A74" s="569" t="s">
        <v>40</v>
      </c>
      <c r="B74" s="112">
        <v>1607292.22</v>
      </c>
      <c r="C74" s="112">
        <v>6497576.5</v>
      </c>
      <c r="D74" s="112">
        <v>6094041.7</v>
      </c>
      <c r="E74" s="110">
        <f t="shared" si="1"/>
        <v>2010827.02</v>
      </c>
    </row>
    <row r="75" spans="1:5" ht="12.75">
      <c r="A75" s="569" t="s">
        <v>41</v>
      </c>
      <c r="B75" s="112">
        <v>180727.59</v>
      </c>
      <c r="C75" s="112">
        <v>1236497.28</v>
      </c>
      <c r="D75" s="112">
        <v>1069990.14</v>
      </c>
      <c r="E75" s="110">
        <f t="shared" si="1"/>
        <v>347234.73</v>
      </c>
    </row>
    <row r="76" spans="1:5" ht="12.75">
      <c r="A76" s="569" t="s">
        <v>42</v>
      </c>
      <c r="B76" s="112">
        <v>301.32</v>
      </c>
      <c r="C76" s="112"/>
      <c r="D76" s="112"/>
      <c r="E76" s="110">
        <f t="shared" si="1"/>
        <v>301.32</v>
      </c>
    </row>
    <row r="77" spans="1:5" ht="12.75">
      <c r="A77" s="569" t="s">
        <v>43</v>
      </c>
      <c r="B77" s="112">
        <v>125909.65</v>
      </c>
      <c r="C77" s="112">
        <v>69419.16</v>
      </c>
      <c r="D77" s="112">
        <v>181530.2</v>
      </c>
      <c r="E77" s="110">
        <f t="shared" si="1"/>
        <v>13798.61</v>
      </c>
    </row>
    <row r="78" spans="1:5" ht="12.75">
      <c r="A78" s="569" t="s">
        <v>44</v>
      </c>
      <c r="B78" s="112">
        <v>0.45</v>
      </c>
      <c r="C78" s="112">
        <v>15000</v>
      </c>
      <c r="D78" s="112"/>
      <c r="E78" s="110">
        <f t="shared" si="1"/>
        <v>15000.45</v>
      </c>
    </row>
    <row r="79" spans="1:6" s="114" customFormat="1" ht="12.75">
      <c r="A79" s="570" t="s">
        <v>45</v>
      </c>
      <c r="B79" s="115">
        <v>141115.56</v>
      </c>
      <c r="C79" s="115">
        <v>159968.84</v>
      </c>
      <c r="D79" s="115"/>
      <c r="E79" s="116">
        <f t="shared" si="1"/>
        <v>301084.4</v>
      </c>
      <c r="F79" s="113"/>
    </row>
    <row r="80" spans="1:5" ht="12.75">
      <c r="A80" s="571" t="s">
        <v>820</v>
      </c>
      <c r="B80" s="499">
        <v>5038097.67</v>
      </c>
      <c r="C80" s="499">
        <v>36277525.7</v>
      </c>
      <c r="D80" s="499">
        <v>32486560.73</v>
      </c>
      <c r="E80" s="500">
        <f t="shared" si="1"/>
        <v>8829062.64</v>
      </c>
    </row>
    <row r="81" spans="1:4" ht="28.5" customHeight="1">
      <c r="A81" s="567" t="s">
        <v>762</v>
      </c>
      <c r="D81" s="106" t="s">
        <v>1017</v>
      </c>
    </row>
    <row r="83" spans="1:5" ht="12.75">
      <c r="A83" s="753"/>
      <c r="B83" s="753"/>
      <c r="C83" s="753"/>
      <c r="D83" s="753"/>
      <c r="E83" s="753"/>
    </row>
    <row r="84" ht="12.75">
      <c r="B84" s="117"/>
    </row>
  </sheetData>
  <mergeCells count="4">
    <mergeCell ref="A5:E5"/>
    <mergeCell ref="A83:E83"/>
    <mergeCell ref="A3:E3"/>
    <mergeCell ref="A1:E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33" sqref="C33"/>
    </sheetView>
  </sheetViews>
  <sheetFormatPr defaultColWidth="9.140625" defaultRowHeight="12.75"/>
  <cols>
    <col min="1" max="1" width="5.8515625" style="52" customWidth="1"/>
    <col min="2" max="2" width="44.421875" style="25" customWidth="1"/>
    <col min="3" max="3" width="16.00390625" style="52" customWidth="1"/>
    <col min="4" max="4" width="16.8515625" style="52" customWidth="1"/>
    <col min="5" max="16384" width="9.140625" style="52" customWidth="1"/>
  </cols>
  <sheetData>
    <row r="1" spans="3:4" ht="16.5" customHeight="1">
      <c r="C1" s="693" t="s">
        <v>802</v>
      </c>
      <c r="D1" s="693"/>
    </row>
    <row r="2" spans="1:4" ht="35.25" customHeight="1">
      <c r="A2" s="756" t="s">
        <v>346</v>
      </c>
      <c r="B2" s="756"/>
      <c r="C2" s="756"/>
      <c r="D2" s="756"/>
    </row>
    <row r="3" spans="2:4" ht="12" customHeight="1">
      <c r="B3" s="757" t="s">
        <v>764</v>
      </c>
      <c r="C3" s="757"/>
      <c r="D3" s="757"/>
    </row>
    <row r="4" spans="1:4" ht="30.75" customHeight="1">
      <c r="A4" s="29" t="s">
        <v>743</v>
      </c>
      <c r="B4" s="27" t="s">
        <v>765</v>
      </c>
      <c r="C4" s="27" t="s">
        <v>766</v>
      </c>
      <c r="D4" s="27" t="s">
        <v>767</v>
      </c>
    </row>
    <row r="5" spans="1:4" s="1" customFormat="1" ht="12.75">
      <c r="A5" s="9">
        <v>1</v>
      </c>
      <c r="B5" s="4">
        <v>2</v>
      </c>
      <c r="C5" s="5">
        <v>3</v>
      </c>
      <c r="D5" s="5">
        <v>4</v>
      </c>
    </row>
    <row r="6" spans="1:4" ht="15.75">
      <c r="A6" s="54">
        <v>1</v>
      </c>
      <c r="B6" s="17" t="s">
        <v>781</v>
      </c>
      <c r="C6" s="55"/>
      <c r="D6" s="55"/>
    </row>
    <row r="7" spans="1:4" ht="13.5" customHeight="1">
      <c r="A7" s="54"/>
      <c r="B7" s="17" t="s">
        <v>769</v>
      </c>
      <c r="C7" s="54"/>
      <c r="D7" s="54"/>
    </row>
    <row r="8" spans="1:4" ht="13.5" customHeight="1">
      <c r="A8" s="54" t="s">
        <v>770</v>
      </c>
      <c r="B8" s="17"/>
      <c r="C8" s="54"/>
      <c r="D8" s="54"/>
    </row>
    <row r="9" spans="1:4" ht="13.5" customHeight="1">
      <c r="A9" s="54" t="s">
        <v>771</v>
      </c>
      <c r="B9" s="17"/>
      <c r="C9" s="54"/>
      <c r="D9" s="54"/>
    </row>
    <row r="10" spans="1:4" ht="15.75">
      <c r="A10" s="54" t="s">
        <v>772</v>
      </c>
      <c r="B10" s="17"/>
      <c r="C10" s="54"/>
      <c r="D10" s="54"/>
    </row>
    <row r="11" spans="1:4" ht="51" customHeight="1">
      <c r="A11" s="54">
        <v>2</v>
      </c>
      <c r="B11" s="17" t="s">
        <v>768</v>
      </c>
      <c r="C11" s="56"/>
      <c r="D11" s="56"/>
    </row>
    <row r="12" spans="1:4" ht="17.25" customHeight="1">
      <c r="A12" s="54"/>
      <c r="B12" s="17" t="s">
        <v>769</v>
      </c>
      <c r="C12" s="56"/>
      <c r="D12" s="56"/>
    </row>
    <row r="13" spans="1:4" ht="15.75" customHeight="1">
      <c r="A13" s="54" t="s">
        <v>774</v>
      </c>
      <c r="B13" s="17"/>
      <c r="C13" s="56"/>
      <c r="D13" s="56"/>
    </row>
    <row r="14" spans="1:4" ht="16.5" customHeight="1">
      <c r="A14" s="54" t="s">
        <v>775</v>
      </c>
      <c r="B14" s="63"/>
      <c r="C14" s="56"/>
      <c r="D14" s="57"/>
    </row>
    <row r="15" spans="1:4" ht="15.75">
      <c r="A15" s="58" t="s">
        <v>776</v>
      </c>
      <c r="B15" s="17"/>
      <c r="C15" s="59"/>
      <c r="D15" s="60"/>
    </row>
    <row r="16" spans="1:4" ht="63.75" customHeight="1">
      <c r="A16" s="54">
        <v>3</v>
      </c>
      <c r="B16" s="17" t="s">
        <v>773</v>
      </c>
      <c r="C16" s="56">
        <v>13901</v>
      </c>
      <c r="D16" s="56">
        <v>13901</v>
      </c>
    </row>
    <row r="17" spans="1:4" ht="24" customHeight="1">
      <c r="A17" s="54"/>
      <c r="B17" s="17" t="s">
        <v>769</v>
      </c>
      <c r="C17" s="60"/>
      <c r="D17" s="54"/>
    </row>
    <row r="18" spans="1:4" ht="15.75">
      <c r="A18" s="54" t="s">
        <v>778</v>
      </c>
      <c r="B18" s="17" t="s">
        <v>1015</v>
      </c>
      <c r="C18" s="60">
        <v>13901</v>
      </c>
      <c r="D18" s="60">
        <v>13901</v>
      </c>
    </row>
    <row r="19" spans="1:4" ht="15.75">
      <c r="A19" s="54" t="s">
        <v>779</v>
      </c>
      <c r="B19" s="17"/>
      <c r="C19" s="60"/>
      <c r="D19" s="60"/>
    </row>
    <row r="20" spans="1:4" ht="15.75">
      <c r="A20" s="54" t="s">
        <v>780</v>
      </c>
      <c r="B20" s="17"/>
      <c r="C20" s="60"/>
      <c r="D20" s="60"/>
    </row>
    <row r="21" spans="1:4" ht="34.5" customHeight="1">
      <c r="A21" s="54">
        <v>4</v>
      </c>
      <c r="B21" s="17" t="s">
        <v>1016</v>
      </c>
      <c r="C21" s="57"/>
      <c r="D21" s="61"/>
    </row>
    <row r="22" spans="1:4" ht="17.25" customHeight="1">
      <c r="A22" s="54"/>
      <c r="B22" s="17" t="s">
        <v>769</v>
      </c>
      <c r="C22" s="57"/>
      <c r="D22" s="57"/>
    </row>
    <row r="23" spans="1:4" ht="15.75">
      <c r="A23" s="58" t="s">
        <v>782</v>
      </c>
      <c r="B23" s="17"/>
      <c r="C23" s="57"/>
      <c r="D23" s="60"/>
    </row>
    <row r="24" spans="1:4" ht="15.75">
      <c r="A24" s="58" t="s">
        <v>783</v>
      </c>
      <c r="B24" s="17"/>
      <c r="C24" s="61"/>
      <c r="D24" s="60"/>
    </row>
    <row r="25" spans="1:4" ht="15.75">
      <c r="A25" s="58" t="s">
        <v>784</v>
      </c>
      <c r="B25" s="17"/>
      <c r="C25" s="57"/>
      <c r="D25" s="60"/>
    </row>
    <row r="26" spans="1:4" ht="47.25" customHeight="1">
      <c r="A26" s="54">
        <v>5</v>
      </c>
      <c r="B26" s="17" t="s">
        <v>777</v>
      </c>
      <c r="C26" s="61"/>
      <c r="D26" s="61"/>
    </row>
    <row r="27" spans="1:4" ht="14.25" customHeight="1">
      <c r="A27" s="54"/>
      <c r="B27" s="17" t="s">
        <v>769</v>
      </c>
      <c r="C27" s="54"/>
      <c r="D27" s="60"/>
    </row>
    <row r="28" spans="1:4" ht="15.75">
      <c r="A28" s="54" t="s">
        <v>785</v>
      </c>
      <c r="B28" s="17"/>
      <c r="C28" s="60"/>
      <c r="D28" s="60"/>
    </row>
    <row r="29" spans="1:4" ht="15.75">
      <c r="A29" s="58" t="s">
        <v>786</v>
      </c>
      <c r="B29" s="17"/>
      <c r="C29" s="60"/>
      <c r="D29" s="54"/>
    </row>
    <row r="30" spans="1:4" ht="15.75">
      <c r="A30" s="58" t="s">
        <v>787</v>
      </c>
      <c r="B30" s="17"/>
      <c r="C30" s="60"/>
      <c r="D30" s="54"/>
    </row>
    <row r="31" spans="1:4" ht="17.25" customHeight="1">
      <c r="A31" s="54"/>
      <c r="B31" s="64" t="s">
        <v>788</v>
      </c>
      <c r="C31" s="60">
        <v>13901</v>
      </c>
      <c r="D31" s="60">
        <v>13901</v>
      </c>
    </row>
    <row r="32" spans="1:3" ht="0.75" customHeight="1">
      <c r="A32" s="21"/>
      <c r="B32" s="65"/>
      <c r="C32" s="62"/>
    </row>
    <row r="33" spans="1:4" ht="41.25" customHeight="1">
      <c r="A33" s="758" t="s">
        <v>933</v>
      </c>
      <c r="B33" s="758"/>
      <c r="C33" s="100"/>
      <c r="D33" s="102" t="s">
        <v>1017</v>
      </c>
    </row>
  </sheetData>
  <mergeCells count="4">
    <mergeCell ref="C1:D1"/>
    <mergeCell ref="A2:D2"/>
    <mergeCell ref="B3:D3"/>
    <mergeCell ref="A33:B3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16" sqref="C16"/>
    </sheetView>
  </sheetViews>
  <sheetFormatPr defaultColWidth="9.140625" defaultRowHeight="12.75"/>
  <cols>
    <col min="1" max="1" width="4.57421875" style="7" customWidth="1"/>
    <col min="2" max="2" width="26.28125" style="6" customWidth="1"/>
    <col min="3" max="3" width="13.28125" style="6" customWidth="1"/>
    <col min="4" max="4" width="12.7109375" style="6" customWidth="1"/>
    <col min="5" max="5" width="12.421875" style="6" customWidth="1"/>
    <col min="6" max="6" width="17.421875" style="6" customWidth="1"/>
    <col min="7" max="9" width="11.421875" style="6" customWidth="1"/>
    <col min="10" max="10" width="11.7109375" style="6" customWidth="1"/>
    <col min="11" max="16384" width="9.140625" style="6" customWidth="1"/>
  </cols>
  <sheetData>
    <row r="1" spans="9:10" ht="12.75">
      <c r="I1" s="763" t="s">
        <v>810</v>
      </c>
      <c r="J1" s="763"/>
    </row>
    <row r="3" spans="1:10" s="71" customFormat="1" ht="15.75">
      <c r="A3" s="756" t="s">
        <v>1039</v>
      </c>
      <c r="B3" s="756"/>
      <c r="C3" s="756"/>
      <c r="D3" s="756"/>
      <c r="E3" s="756"/>
      <c r="F3" s="756"/>
      <c r="G3" s="756"/>
      <c r="H3" s="756"/>
      <c r="I3" s="756"/>
      <c r="J3" s="756"/>
    </row>
    <row r="4" spans="1:10" s="71" customFormat="1" ht="25.5" customHeight="1">
      <c r="A4" s="756"/>
      <c r="B4" s="756"/>
      <c r="C4" s="756"/>
      <c r="D4" s="756"/>
      <c r="E4" s="756"/>
      <c r="F4" s="756"/>
      <c r="G4" s="756"/>
      <c r="H4" s="756"/>
      <c r="I4" s="756"/>
      <c r="J4" s="756"/>
    </row>
    <row r="5" spans="9:10" ht="21" customHeight="1">
      <c r="I5" s="764" t="s">
        <v>764</v>
      </c>
      <c r="J5" s="764"/>
    </row>
    <row r="6" spans="1:10" ht="48" customHeight="1">
      <c r="A6" s="762" t="s">
        <v>743</v>
      </c>
      <c r="B6" s="762" t="s">
        <v>803</v>
      </c>
      <c r="C6" s="762" t="s">
        <v>804</v>
      </c>
      <c r="D6" s="762"/>
      <c r="E6" s="762" t="s">
        <v>805</v>
      </c>
      <c r="F6" s="762" t="s">
        <v>806</v>
      </c>
      <c r="G6" s="762" t="s">
        <v>807</v>
      </c>
      <c r="H6" s="762"/>
      <c r="I6" s="762" t="s">
        <v>808</v>
      </c>
      <c r="J6" s="762"/>
    </row>
    <row r="7" spans="1:10" ht="51.75" customHeight="1">
      <c r="A7" s="762"/>
      <c r="B7" s="762"/>
      <c r="C7" s="15" t="s">
        <v>809</v>
      </c>
      <c r="D7" s="15" t="s">
        <v>1023</v>
      </c>
      <c r="E7" s="762"/>
      <c r="F7" s="762"/>
      <c r="G7" s="15" t="s">
        <v>809</v>
      </c>
      <c r="H7" s="15" t="s">
        <v>1023</v>
      </c>
      <c r="I7" s="15" t="s">
        <v>809</v>
      </c>
      <c r="J7" s="15" t="s">
        <v>1023</v>
      </c>
    </row>
    <row r="8" spans="1:10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31.5">
      <c r="A9" s="15">
        <v>1</v>
      </c>
      <c r="B9" s="16" t="s">
        <v>1015</v>
      </c>
      <c r="C9" s="15">
        <v>18439.3</v>
      </c>
      <c r="D9" s="15"/>
      <c r="E9" s="15"/>
      <c r="F9" s="15"/>
      <c r="G9" s="15"/>
      <c r="H9" s="15"/>
      <c r="I9" s="15">
        <f aca="true" t="shared" si="0" ref="I9:J13">C9+E9-G9</f>
        <v>18439.3</v>
      </c>
      <c r="J9" s="560">
        <f t="shared" si="0"/>
        <v>0</v>
      </c>
    </row>
    <row r="10" spans="1:10" ht="20.25" customHeight="1">
      <c r="A10" s="15">
        <v>2</v>
      </c>
      <c r="B10" s="16" t="s">
        <v>1024</v>
      </c>
      <c r="C10" s="15">
        <v>320.1</v>
      </c>
      <c r="D10" s="15"/>
      <c r="E10" s="15"/>
      <c r="F10" s="15"/>
      <c r="G10" s="15">
        <v>36.8</v>
      </c>
      <c r="H10" s="15"/>
      <c r="I10" s="15">
        <f t="shared" si="0"/>
        <v>283.3</v>
      </c>
      <c r="J10" s="560">
        <f t="shared" si="0"/>
        <v>0</v>
      </c>
    </row>
    <row r="11" spans="1:10" ht="15.75">
      <c r="A11" s="15">
        <v>3</v>
      </c>
      <c r="B11" s="16" t="s">
        <v>1025</v>
      </c>
      <c r="C11" s="15">
        <v>5</v>
      </c>
      <c r="D11" s="15"/>
      <c r="E11" s="15"/>
      <c r="F11" s="15"/>
      <c r="G11" s="15"/>
      <c r="H11" s="15"/>
      <c r="I11" s="15">
        <f t="shared" si="0"/>
        <v>5</v>
      </c>
      <c r="J11" s="560">
        <f t="shared" si="0"/>
        <v>0</v>
      </c>
    </row>
    <row r="12" spans="1:10" ht="19.5" customHeight="1">
      <c r="A12" s="15">
        <v>4</v>
      </c>
      <c r="B12" s="16" t="s">
        <v>1026</v>
      </c>
      <c r="C12" s="15">
        <v>5406.4</v>
      </c>
      <c r="D12" s="15">
        <v>4.5</v>
      </c>
      <c r="E12" s="15"/>
      <c r="F12" s="15">
        <v>6.2</v>
      </c>
      <c r="G12" s="15">
        <v>684</v>
      </c>
      <c r="H12" s="15">
        <v>7</v>
      </c>
      <c r="I12" s="15">
        <f t="shared" si="0"/>
        <v>4722.4</v>
      </c>
      <c r="J12" s="15">
        <f t="shared" si="0"/>
        <v>3.7</v>
      </c>
    </row>
    <row r="13" spans="1:10" ht="19.5" customHeight="1">
      <c r="A13" s="15">
        <v>5</v>
      </c>
      <c r="B13" s="16" t="s">
        <v>1027</v>
      </c>
      <c r="C13" s="15">
        <v>98.3</v>
      </c>
      <c r="D13" s="15">
        <v>15.8</v>
      </c>
      <c r="E13" s="15"/>
      <c r="F13" s="15">
        <v>6.6</v>
      </c>
      <c r="G13" s="15"/>
      <c r="H13" s="15"/>
      <c r="I13" s="15">
        <f t="shared" si="0"/>
        <v>98.3</v>
      </c>
      <c r="J13" s="15">
        <f t="shared" si="0"/>
        <v>22.4</v>
      </c>
    </row>
    <row r="14" spans="1:10" s="565" customFormat="1" ht="27.75" customHeight="1">
      <c r="A14" s="562"/>
      <c r="B14" s="562" t="s">
        <v>761</v>
      </c>
      <c r="C14" s="563">
        <f>SUM(C9:C13)</f>
        <v>24269.1</v>
      </c>
      <c r="D14" s="563">
        <f aca="true" t="shared" si="1" ref="D14:J14">SUM(D9:D13)</f>
        <v>20.3</v>
      </c>
      <c r="E14" s="564">
        <f t="shared" si="1"/>
        <v>0</v>
      </c>
      <c r="F14" s="563">
        <f t="shared" si="1"/>
        <v>12.8</v>
      </c>
      <c r="G14" s="563">
        <f t="shared" si="1"/>
        <v>720.8</v>
      </c>
      <c r="H14" s="563">
        <f t="shared" si="1"/>
        <v>7</v>
      </c>
      <c r="I14" s="563">
        <f t="shared" si="1"/>
        <v>23548.3</v>
      </c>
      <c r="J14" s="563">
        <f t="shared" si="1"/>
        <v>26.1</v>
      </c>
    </row>
    <row r="15" spans="1:10" ht="12.75">
      <c r="A15" s="561"/>
      <c r="B15" s="18"/>
      <c r="C15" s="19"/>
      <c r="D15" s="19"/>
      <c r="E15" s="19"/>
      <c r="F15" s="19"/>
      <c r="G15" s="19"/>
      <c r="H15" s="19"/>
      <c r="I15" s="19"/>
      <c r="J15" s="19"/>
    </row>
    <row r="16" spans="2:10" ht="12.75">
      <c r="B16" s="20"/>
      <c r="C16" s="20"/>
      <c r="D16" s="20"/>
      <c r="E16" s="20"/>
      <c r="F16" s="20"/>
      <c r="G16" s="19"/>
      <c r="H16" s="19"/>
      <c r="I16" s="19"/>
      <c r="J16" s="19"/>
    </row>
    <row r="17" spans="1:10" ht="32.25" customHeight="1">
      <c r="A17" s="759" t="s">
        <v>932</v>
      </c>
      <c r="B17" s="759"/>
      <c r="C17" s="759"/>
      <c r="D17" s="759"/>
      <c r="H17" s="760" t="s">
        <v>1017</v>
      </c>
      <c r="I17" s="760"/>
      <c r="J17" s="760"/>
    </row>
    <row r="18" spans="1:2" ht="42.75" customHeight="1">
      <c r="A18" s="761"/>
      <c r="B18" s="761"/>
    </row>
  </sheetData>
  <mergeCells count="13">
    <mergeCell ref="I1:J1"/>
    <mergeCell ref="A3:J4"/>
    <mergeCell ref="I5:J5"/>
    <mergeCell ref="A6:A7"/>
    <mergeCell ref="B6:B7"/>
    <mergeCell ref="C6:D6"/>
    <mergeCell ref="E6:E7"/>
    <mergeCell ref="A17:D17"/>
    <mergeCell ref="H17:J17"/>
    <mergeCell ref="A18:B18"/>
    <mergeCell ref="F6:F7"/>
    <mergeCell ref="G6:H6"/>
    <mergeCell ref="I6:J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Rover</cp:lastModifiedBy>
  <cp:lastPrinted>2008-07-28T07:07:18Z</cp:lastPrinted>
  <dcterms:created xsi:type="dcterms:W3CDTF">1996-10-08T23:32:33Z</dcterms:created>
  <dcterms:modified xsi:type="dcterms:W3CDTF">2008-10-02T04:48:43Z</dcterms:modified>
  <cp:category/>
  <cp:version/>
  <cp:contentType/>
  <cp:contentStatus/>
</cp:coreProperties>
</file>