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7280" windowHeight="8340" activeTab="0"/>
  </bookViews>
  <sheets>
    <sheet name="2015" sheetId="1" r:id="rId1"/>
    <sheet name="ФЭУ" sheetId="2" r:id="rId2"/>
  </sheets>
  <definedNames>
    <definedName name="_xlnm._FilterDatabase" localSheetId="0" hidden="1">'2015'!$B$1:$B$627</definedName>
    <definedName name="_xlnm.Print_Titles" localSheetId="0">'2015'!$3:$5</definedName>
  </definedNames>
  <calcPr fullCalcOnLoad="1"/>
</workbook>
</file>

<file path=xl/sharedStrings.xml><?xml version="1.0" encoding="utf-8"?>
<sst xmlns="http://schemas.openxmlformats.org/spreadsheetml/2006/main" count="3478" uniqueCount="1048">
  <si>
    <t>Итого расходных обязательств муниципальных образований</t>
  </si>
  <si>
    <t>по факту исполнения</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</si>
  <si>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</si>
  <si>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</si>
  <si>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</si>
  <si>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</si>
  <si>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</si>
  <si>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</si>
  <si>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</si>
  <si>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</si>
  <si>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</si>
  <si>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1000</t>
  </si>
  <si>
    <t>х</t>
  </si>
  <si>
    <t>…</t>
  </si>
  <si>
    <t>1001</t>
  </si>
  <si>
    <t>Правовое основание финансового обеспечения и расходования
средств (нормативные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</si>
  <si>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</si>
  <si>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1100</t>
  </si>
  <si>
    <t>1200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</si>
  <si>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</si>
  <si>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</si>
  <si>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1.5.2. по предоставлению субсидий в бюджет субъекта Российской Федерации, всего</t>
  </si>
  <si>
    <t>1.5.4. по предоставлению иных межбюджетных трансфертов, всего</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</si>
  <si>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</si>
  <si>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</si>
  <si>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</si>
  <si>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</si>
  <si>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2.5.1. по предоставлению субсидий в бюджет субъекта Российской Федерации, всего</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</si>
  <si>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</si>
  <si>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</si>
  <si>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</si>
  <si>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4.5.1. по предоставлению субсидий, всего</t>
  </si>
  <si>
    <t>4.5.1.1. в бюджет субъекта Российской Федерации, всего</t>
  </si>
  <si>
    <t>4.5.2. по предоставлению иных межбюджетных трансфертов, всего</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</si>
  <si>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</si>
  <si>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</si>
  <si>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</si>
  <si>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</si>
  <si>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5.5.1. по предоставлению субсидий, всего</t>
  </si>
  <si>
    <t>5.5.1.1. в бюджет субъекта Российской Федерации, всего</t>
  </si>
  <si>
    <t>5.5.2. по предоставлению иных межбюджетных трансфертов, всего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</si>
  <si>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</si>
  <si>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</si>
  <si>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наимено-вание, номер и дата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</si>
  <si>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</si>
  <si>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</si>
  <si>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собственности муниципального района</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</si>
  <si>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</si>
  <si>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</si>
  <si>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</si>
  <si>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</si>
  <si>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</si>
  <si>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</si>
  <si>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</si>
  <si>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</si>
  <si>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организация мероприятий межпоселенческого характера по охране окружающей среды</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</si>
  <si>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</si>
  <si>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</si>
  <si>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</si>
  <si>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</si>
  <si>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формирование и содержание муниципального архива, включая хранение архивных фондов поселений</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</si>
  <si>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</si>
  <si>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</si>
  <si>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</si>
  <si>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</si>
  <si>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</si>
  <si>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</si>
  <si>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</si>
  <si>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</si>
  <si>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</si>
  <si>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мероприятий по обеспечению безопасности людей на водных объектах, охране их жизни и здоровья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</si>
  <si>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</si>
  <si>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</si>
  <si>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</si>
  <si>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</si>
  <si>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лесного контроля</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</si>
  <si>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</si>
  <si>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муниципального района</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</si>
  <si>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</si>
  <si>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осуществление муниципального земельного контроля на межселенной территории муниципального района</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</si>
  <si>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</si>
  <si>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</si>
  <si>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</si>
  <si>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</si>
  <si>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</si>
  <si>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</si>
  <si>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</si>
  <si>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участие в предупреждении и ликвидации последствий чрезвычайных ситуаций в границах сельского поселения</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</si>
  <si>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</si>
  <si>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</si>
  <si>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</si>
  <si>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</si>
  <si>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</si>
  <si>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</si>
  <si>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организация ритуальных услуг и содержание мест захоронения на территории сельского поселения</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</si>
  <si>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</si>
  <si>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</si>
  <si>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осуществление мероприятий по обеспечению безопасности людей на водных объектах, охране их жизни и здоровья на территории сельского поселения</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</si>
  <si>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</si>
  <si>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</si>
  <si>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осуществление муниципального лесного контроля на территории сельского поселения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</si>
  <si>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</si>
  <si>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</si>
  <si>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</si>
  <si>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</si>
  <si>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осуществление мер по противодействию коррупции в границах сельского поселения</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</si>
  <si>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</si>
  <si>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 в том числе:</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</si>
  <si>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всего, в том числе:</t>
  </si>
  <si>
    <t>функционирование органов местного самоуправления</t>
  </si>
  <si>
    <t>финансирование муниципальных учреждений</t>
  </si>
  <si>
    <t>принятие устава муниципального образования и внесение в него изменений и дополнений, издание муниципальных правовых актов</t>
  </si>
  <si>
    <t>установление официальных символов муниципального образования</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</si>
  <si>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</si>
  <si>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</si>
  <si>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</si>
  <si>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полномочиями по организации теплоснабжения, предусмотренными Федеральным законом «О теплоснабжении»</t>
  </si>
  <si>
    <t>полномочиями в сфере водоснабжения и водоотведения, предусмотренными Федеральным законом «О водоснабжении и водоотведении»</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</si>
  <si>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</si>
  <si>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</si>
  <si>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</si>
  <si>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</si>
  <si>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осуществление международных и внешнеэкономических связей в соответствии с федеральными законами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</si>
  <si>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</si>
  <si>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</si>
  <si>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создание музеев муниципального района</t>
  </si>
  <si>
    <t>участие в осуществлении деятельности по опеке и попечительству</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</si>
  <si>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</si>
  <si>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</si>
  <si>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</si>
  <si>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создание условий для развития туризма</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</si>
  <si>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</si>
  <si>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</si>
  <si>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осуществление мероприятий, предусмотренных Федеральным законом «О донорстве крови и ее компонентов»</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</si>
  <si>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</si>
  <si>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</si>
  <si>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 в том числе:</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</si>
  <si>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</si>
  <si>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</si>
  <si>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</si>
  <si>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1.4.1. за счет субвенций, предоставленных из федерального бюджета или бюджета субъекта Российской Федерации, всего, в том числе:</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</si>
  <si>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</si>
  <si>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обслуживание лицевых счетов органов государственной власти Пермского края, государственных краевых учреждений органами местного самоуправления Пермского края</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</si>
  <si>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</si>
  <si>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полномочий по страхованию граждан Российской Федерации, участвующих в деятельности дружин охраны общественного порядка на территории Пермского края</t>
  </si>
  <si>
    <t>распоряжение земельными участками, государственная собственность на которые не разграничена</t>
  </si>
  <si>
    <t>государственная регистрация актов гражданского состояния</t>
  </si>
  <si>
    <t>осуществление первичного воинского учета на территориях, где отсутствуют военные комиссариаты</t>
  </si>
  <si>
    <t>предоставление средств федеральному бюджету на составление протоколов об административных правонарушениях</t>
  </si>
  <si>
    <t>составление протоколов об административных правонарушениях</t>
  </si>
  <si>
    <t>возмещение части процентной ставки по долгосрочным, среднесрочным и краткосрочным кредитам, взятым малыми формами хозяйствования</t>
  </si>
  <si>
    <t>государственная поддержка кредитования малых форм хозяйствования</t>
  </si>
  <si>
    <t>администрирование отдельных государственных полномочий по поддержке сельскохозяйственного производства</t>
  </si>
  <si>
    <t>проведение Всероссийской сельскохозяйственной переписи в 2016 году</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</si>
  <si>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</si>
  <si>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обеспечение воспитания и обучения детей-инвалидов в дошкольных образовательных организациях и на дому</t>
  </si>
  <si>
    <t>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</si>
  <si>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t>предоставление мер социальной поддержки педагогическим работникам образовательных организаций</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</si>
  <si>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t>
  </si>
  <si>
    <t>предоставление общедоступного и бесплатного дошкольного, начального, основного, среднего общего образования по основным и адаптированным основным общеобразовательным программам в специальных (коррекционных) образовательных организациях для обучающихся, воспитанников с ограниченными возможностями здоровья, специальных учебно-воспитательных организациях открытого типа, оздоровительных образовательных организациях санаторного типа для детей, нуждающихся в длительном лечении</t>
  </si>
  <si>
    <t>выплата вознаграждения за выполнение функций классного руководителя педагогическим работникам образовательных организаций</t>
  </si>
  <si>
    <t>мероприятия по организации оздоровления и отдыха детей</t>
  </si>
  <si>
    <t>обеспечение хранения, комплектования, учета и использования архивных документов государственной части документов архивного фонда Пермского края</t>
  </si>
  <si>
    <t>дополнительные меры социальной поддержки отдельных категорий лиц, которым присуждены ученые степени кандидата и доктора наук, работающих в общеобразовательных и профессиональных организациях</t>
  </si>
  <si>
    <t>предоставление мер социальной поддержки педагогическим работникам образовательных государственных и муниципальных организаций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</si>
  <si>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(рабочих поселках), по оплате жилого помещения и коммунальных услуг</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</si>
  <si>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</si>
  <si>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обеспечение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</si>
  <si>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</si>
  <si>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предоставление мер социальной поддержки учащимся из многодетных малоимущих семей</t>
  </si>
  <si>
    <t>предоставление мер социальной поддержки учащимся из малоимущих семей</t>
  </si>
  <si>
    <t>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</si>
  <si>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образование комиссий по делам несовершеннолетних и защите их прав и организация их деятельности</t>
  </si>
  <si>
    <t>1.4.2. за счет собственных доходов и источников финансирования дефицита бюджета муниципального района, всего, в том числе:</t>
  </si>
  <si>
    <t>1.5.1. по предоставлению дотаций на выравнивание бюджетной обеспеченности городских, сельских поселений, всего</t>
  </si>
  <si>
    <t>1.5.3.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 в том числе:</t>
  </si>
  <si>
    <t>1.5.4.1. 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 в том числе:</t>
  </si>
  <si>
    <t>1.5.4.2. в иных случаях, не связанных с заключением соглашений, предусмотренных в подпункте 1.5.4.1, всего, в том числе:</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</si>
  <si>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 в том числе:</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</si>
  <si>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 в том числе:</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</si>
  <si>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 в том числе:</t>
  </si>
  <si>
    <t>мероприятия по отлову, содержанию, эвтаназии и утилизации (кремации) умерших в период содержания и эвтаназированных безнадзорных животных на территории Пермского края, в том числе администрирование</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</si>
  <si>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</si>
  <si>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установление, изменение и отмена местных налогов и сборов городского округа</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</si>
  <si>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</si>
  <si>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</si>
  <si>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</si>
  <si>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</si>
  <si>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</si>
  <si>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</si>
  <si>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</si>
  <si>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предупреждении и ликвидации последствий чрезвычайных ситуаций в границах городского округа</t>
  </si>
  <si>
    <t>организация охраны общественного порядка на территории городского округа муниципальной милицией</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</si>
  <si>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</si>
  <si>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обеспечение первичных мер пожарной безопасности в границах городского округа</t>
  </si>
  <si>
    <t>организация мероприятий по охране окружающей среды в границах городского округа</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</si>
  <si>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</si>
  <si>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</si>
  <si>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</si>
  <si>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</si>
  <si>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</si>
  <si>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</si>
  <si>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</si>
  <si>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создание условий для массового отдыха жителей городского округа и организация обустройства мест массового отдыха населения</t>
  </si>
  <si>
    <t>формирование и содержание муниципального архива</t>
  </si>
  <si>
    <t>организация ритуальных услуг и содержание мест захоронения</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</si>
  <si>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</si>
  <si>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</si>
  <si>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</si>
  <si>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</si>
  <si>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</si>
  <si>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</si>
  <si>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</si>
  <si>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</si>
  <si>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</si>
  <si>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</si>
  <si>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</si>
  <si>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</si>
  <si>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</si>
  <si>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</si>
  <si>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осуществление мер по противодействию коррупции в границах городского округа</t>
  </si>
  <si>
    <t>создание музеев городского округа</t>
  </si>
  <si>
    <t>создание муниципальных образовательных организаций высшего образования</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</si>
  <si>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</si>
  <si>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</si>
  <si>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</si>
  <si>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</si>
  <si>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осуществление мероприятий по отлову и содержанию безнадзорных животных, обитающих на территории городского округа</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</si>
  <si>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</si>
  <si>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</si>
  <si>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2.4.1. за счет субвенций, предоставленных из федерального бюджета или бюджета субъекта Российской Федерации, всего, в том числе:</t>
  </si>
  <si>
    <t>2.4.2. за счет собственных доходов и источников финансирования дефицита бюджета городского округа, всего, в том числе:</t>
  </si>
  <si>
    <t>2.5.2. по предоставлению иных межбюджетных трансфертов, всего, в том числе:</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</si>
  <si>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 в том числе:</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</si>
  <si>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</si>
  <si>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установление, изменение и отмена местных налогов и сборов городского поселения</t>
  </si>
  <si>
    <t>участие в организации деятельности по сбору (в том числе раздельному сбору) и транспортированию твердых коммунальных отходов</t>
  </si>
  <si>
    <t>содействие в развитии сельскохозяйственного производства, создание условий для развития малого и среднего предпринимательства</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</si>
  <si>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</si>
  <si>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</si>
  <si>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</si>
  <si>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 в том числе:</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</si>
  <si>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 в том числе:</t>
  </si>
  <si>
    <t>создание музеев городского поселения</t>
  </si>
  <si>
    <t>совершение нотариальных действий, предусмотренных законодательством, в случае отсутствия в городского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</si>
  <si>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</si>
  <si>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</si>
  <si>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</si>
  <si>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осуществление мероприятий по отлову и содержанию безнадзорных животных, обитающих на территории городского поселения</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</si>
  <si>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</si>
  <si>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</si>
  <si>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4.4.1. за счет субвенций, предоставленных из федерального бюджета или бюджета субъекта Российской Федерации, всего, в том числе:</t>
  </si>
  <si>
    <t>4.4.2. за счет собственных доходов и источников финансирования дефицита бюджета городского поселения, всего, в том числе:</t>
  </si>
  <si>
    <t>4.5.1.2. в бюджет муниципального района на решение вопросов местного значения межмуниципального характера, всего, в том числе:</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</si>
  <si>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 в том числе:</t>
  </si>
  <si>
    <t>4.5.2.2. в иных случаях, не связанных с заключением соглашений, предусмотренных в подпункте 4.5.2.1, всего, в том числе:</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</si>
  <si>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 в том числе:</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</si>
  <si>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</si>
  <si>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установление, изменение и отмена местных налогов и сборов сельского поселения</t>
  </si>
  <si>
    <t>владение, пользование и распоряжение имуществом, находящимся в муниципальной собственности сельского поселения</t>
  </si>
  <si>
    <t>обеспечение первичных мер пожарной безопасности в границах населенных пунктов сельского поселения</t>
  </si>
  <si>
    <t>создание условий для обеспечения жителей сельского поселения услугами связи, общественного питания, торговли и бытового обслуживания</t>
  </si>
  <si>
    <t>создание условий для организации досуга и обеспечения жителей сельского поселения услугами организаций культуры</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</si>
  <si>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</si>
  <si>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формирование архивных фондов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</si>
  <si>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</si>
  <si>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</si>
  <si>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</si>
  <si>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организация и осуществление мероприятий по работе с детьми и молодежью в сельском поселении</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</si>
  <si>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</si>
  <si>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</si>
  <si>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</si>
  <si>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</si>
  <si>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сельского поселении</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</si>
  <si>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</si>
  <si>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</si>
  <si>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</si>
  <si>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</si>
  <si>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</si>
  <si>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</si>
  <si>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</si>
  <si>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 в том числе:</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</si>
  <si>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 в том числе:</t>
  </si>
  <si>
    <t>создание музеев сельского поселения</t>
  </si>
  <si>
    <t>совершение нотариальных действий, предусмотренных законодательством, в случае отсутствия в сельском поселении нотариуса</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</si>
  <si>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</si>
  <si>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</si>
  <si>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</si>
  <si>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осуществление мероприятий по отлову и содержанию безнадзорных животных, обитающих на территории сельского поселения</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</si>
  <si>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 в том числе:</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</si>
  <si>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 в том числе:</t>
  </si>
  <si>
    <t>5.4.1. за счет субвенций, предоставленных из федерального бюджета или бюджета субъекта Российской Федерации, всего, в том числе:</t>
  </si>
  <si>
    <t>5.4.2. за счет собственных доходов и источников финансирования дефицита бюджета сельского поселения, всего, в том числе:</t>
  </si>
  <si>
    <t>5.5.1.2. в бюджет муниципального района на решение вопросов местного значения межмуниципального характера, всего, в том числе:</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</si>
  <si>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 в том числе:</t>
  </si>
  <si>
    <t>5.5.2.2. в иных случаях, не связанных с заключением соглашений, предусмотренных в подпункте 5.5.2.1, всего, в том числе:</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</si>
  <si>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t>
  </si>
  <si>
    <t>10</t>
  </si>
  <si>
    <t>03</t>
  </si>
  <si>
    <t>08</t>
  </si>
  <si>
    <t>04</t>
  </si>
  <si>
    <t>07</t>
  </si>
  <si>
    <t>02</t>
  </si>
  <si>
    <t>01</t>
  </si>
  <si>
    <t>05</t>
  </si>
  <si>
    <t>13</t>
  </si>
  <si>
    <t>06</t>
  </si>
  <si>
    <t xml:space="preserve">01         12  </t>
  </si>
  <si>
    <t>13      02</t>
  </si>
  <si>
    <t>03       04         05           05</t>
  </si>
  <si>
    <t>09      09       01          02</t>
  </si>
  <si>
    <t>09</t>
  </si>
  <si>
    <t>12</t>
  </si>
  <si>
    <t>01        02</t>
  </si>
  <si>
    <t>01           02</t>
  </si>
  <si>
    <t>07         10</t>
  </si>
  <si>
    <t>02         03</t>
  </si>
  <si>
    <t>07         07</t>
  </si>
  <si>
    <t>02          07</t>
  </si>
  <si>
    <t>07     07      07     07       10</t>
  </si>
  <si>
    <t>01        02         07       09         03</t>
  </si>
  <si>
    <t>07        07</t>
  </si>
  <si>
    <t>07           09</t>
  </si>
  <si>
    <t>01      04       04</t>
  </si>
  <si>
    <t>13        05       12</t>
  </si>
  <si>
    <t>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t>
  </si>
  <si>
    <t>01       04         05</t>
  </si>
  <si>
    <t>13     12         05</t>
  </si>
  <si>
    <t>01        04</t>
  </si>
  <si>
    <t>создание условий для организации досуга и обеспечения жителей поселения услугами организаций культуры</t>
  </si>
  <si>
    <t>04      05</t>
  </si>
  <si>
    <t>09         03</t>
  </si>
  <si>
    <t xml:space="preserve">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
</t>
  </si>
  <si>
    <t>04         05</t>
  </si>
  <si>
    <t>09        05</t>
  </si>
  <si>
    <t>внедрение федеральных государственных образовательных стандартов дошкольного образования</t>
  </si>
  <si>
    <t>финансовое обеспечение мероприятий федеральной целевой программы развития образования на 2011-2015 годы</t>
  </si>
  <si>
    <t>реализация мероприятий по стимулированию педагогических работников по результатам обучения школьников</t>
  </si>
  <si>
    <t>Выплата единовременных премий обучающимся, награжденным знаком отличия Пермского края "Гордость Пермского края"</t>
  </si>
  <si>
    <t>04        05          05</t>
  </si>
  <si>
    <t>12        02             05</t>
  </si>
  <si>
    <t>владение, пользование и распоряжение имуществом, находящимся в муниципальной собственности поселения</t>
  </si>
  <si>
    <t>04         04</t>
  </si>
  <si>
    <t>06        12</t>
  </si>
  <si>
    <t>01       05          05</t>
  </si>
  <si>
    <t>13        03             05</t>
  </si>
  <si>
    <t>07        10</t>
  </si>
  <si>
    <t>09             04</t>
  </si>
  <si>
    <t>01          05        10</t>
  </si>
  <si>
    <t>13       05       03</t>
  </si>
  <si>
    <t>составление и рассмотрение проекта бюджета поселения, утверждение и исполнение бюджета поселения, осуществление контроля за его исполнением, сотавление и утверждение отчета об исполнении бюджета поселения</t>
  </si>
  <si>
    <t>03         07          07</t>
  </si>
  <si>
    <t>09         01          02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</si>
  <si>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</si>
  <si>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04           05</t>
  </si>
  <si>
    <t>07          07</t>
  </si>
  <si>
    <t>01         02</t>
  </si>
  <si>
    <t>1)Федеральный закон от 06.10.2003 № 131-ФЗ "Об общих принципах организации местного самоуправления  в Российской Федерации"</t>
  </si>
  <si>
    <t>1)01.01.2006, не установлена</t>
  </si>
  <si>
    <t xml:space="preserve">1) Федеральный закон от 06.10.2003 № 131-ФЗ "Об общих принципах организации местного самоуправления в Российской Федерации"  2)Федеральный Закон от 02.03.2007  №25-ФЗ "О муниципальной службе в Российской Федерации"; 3)Федеральный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</si>
  <si>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 xml:space="preserve">1)01.01.2006,не установлена;           2)01.06.2007, не установлена; 3)01.10.2011, не установлена            </t>
  </si>
  <si>
    <t xml:space="preserve">1)ст.12;  </t>
  </si>
  <si>
    <t xml:space="preserve">1)24.05.2008, не установлена;          </t>
  </si>
  <si>
    <t xml:space="preserve">1)Закон Пермского края от 04.05.2008 №228-ПК "О муниципальной службе в Пермском крае"    </t>
  </si>
  <si>
    <t>1)гл.2;     2)в целом;  3)в целом</t>
  </si>
  <si>
    <t xml:space="preserve">1) Федеральный закон от 06.10.2003 № 131-ФЗ "О б общих принципах организации местного самоуправления в Российской Федерации"      2) Федеральный закон Российской Федерации от 8 ноября 2007 г.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Приказ Минтранса России от 16.11.2012 N 402
"Об утверждении Классификации работ по капитальному ремонту, ремонту и содержанию автомобильных дорог" </t>
  </si>
  <si>
    <t>1) Закон Пермского края от 01.12.2011 N 859-ПК "О дорожном фонде Пермского края и о внесении изменения в Закон Пермского края "О бюджетном процессе в Пермском крае";                    2) Постановление Правительства Пермского края от 12.12.2014 N 1447-п "Об утверждении Порядка предоставления субсидий бюджетам муниципальных образований Пермского края на строительство (реконструкцию), капитальный ремонт и ремонт автомобильных дорог общего пользования местного значения, находящихся на территории Пермского края";                           3) Постановление Правительства Пермского края от 16.05.2012 N 314-п "Об утверждении Порядка предоставления иных межбюджетных трансфертов в форме субсидий местным бюджетам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и внесении изменений в отдельные постановления Правительства Пермского края"</t>
  </si>
  <si>
    <t>1)01.01.2006, не установлена,                     2) 12.11.2007, не установлена, 3) 16.06.2013, не установлена</t>
  </si>
  <si>
    <t xml:space="preserve">1) Федеральный закон от 06.10.2003 № 131-ФЗ "О б общих принципах организации местного самоуправления в Российской Федерации"; </t>
  </si>
  <si>
    <t xml:space="preserve">1) п.6 ч.1 ст. 15,               </t>
  </si>
  <si>
    <t xml:space="preserve">1)01.01.2006, не установлена, </t>
  </si>
  <si>
    <t xml:space="preserve">1)п.1ч.1ст.15;                2)ст.22 гл.6;    3)ст.1         </t>
  </si>
  <si>
    <t>1)п.4 ч.1 ст.15</t>
  </si>
  <si>
    <t>1) п.5 ч.1 ст. 15, п.п.3,5,    2) ст. 13, гл.2.;                       3) п.1</t>
  </si>
  <si>
    <t xml:space="preserve">1) п.9 ч.1 ст. 15,                    2) ст.7        </t>
  </si>
  <si>
    <t>1)01.01.2006, не установлена,    2) 12.01.2002, не установлена</t>
  </si>
  <si>
    <t xml:space="preserve">1)01.01.2006, не установлена,  </t>
  </si>
  <si>
    <t xml:space="preserve">1) п.12, ч.1 ст. 15,                </t>
  </si>
  <si>
    <t xml:space="preserve">1) Федеральный закон от 06.10.2003 № 131-ФЗ "О б общих принципах организации местного самоуправления в Российской Федерации"; 2)Градостроительный Кодекс РФ от 29.12.2004 N 190-ФЗ </t>
  </si>
  <si>
    <t xml:space="preserve">1)01.01.2006, не установлена, 2)30.12.2004г., не установлена  </t>
  </si>
  <si>
    <t xml:space="preserve">1)Федеральный закон от 06.10.2003 № 131-ФЗ "Об общих принципах организации местного самоуправления  в Российской Федерации";   2)Федеральный закон от 22.10.2004 N 125-ФЗ "Об архивном деле в Российской Федерации"
</t>
  </si>
  <si>
    <t>1)п.16 ч.1 ст.15;             2)ст.4</t>
  </si>
  <si>
    <t>1)01.01.2006, не установлена; 2)06.11.2004, не установлена</t>
  </si>
  <si>
    <t xml:space="preserve">1)Закон Пермской области от 07.04.1999 № 458-66 "О государственной политике в сфере культуры, искусства и кинематографии";                2)'Закон Пермского края от 01.04.2015 № 461-пк "Об обеспечении работников государственных и муниципальных учреждений Пермского края путевками на санаторно-курортное лечение и оздоровление";    3)1)Закон Пермского края от 04.05.2008 №228-ПК "О муниципальной службе в Пермском крае" </t>
  </si>
  <si>
    <t>1)ст. 11, 15;  2)ст.3;     3)ст.12</t>
  </si>
  <si>
    <t xml:space="preserve">1)07.04.1999, не установлен; 2)2)17.04.2015-  31.12.2017; 3)24.05.2008, не установлена;   </t>
  </si>
  <si>
    <t>1)Федеральный закон от 06.10.2003 № 131-ФЗ "Об общих принципах организации местного самоуправления  в Российской Федерации"; 2)Закон Российской Федерации от 09.10.1992 № 3612-1 "Основы законодательства Российской Федерации о культуре";      3)Федеральный Закон от 02.03.2007  №25-ФЗ "О муниципальной службе в Российской Федерации"</t>
  </si>
  <si>
    <t xml:space="preserve">1)01.01.2006, не установлена); 2)09.10.1992, не установлена; 3)01.06.2007, не установлена; </t>
  </si>
  <si>
    <t>1)п.19.1 ч.1 ст.15;            2)ст.40;    3)ст.22 гл.6</t>
  </si>
  <si>
    <t xml:space="preserve">1)Закон Пермского края от 06.03.2007 N 11-ПК "Об архивном деле в Пермском крае" </t>
  </si>
  <si>
    <t>1)ст.5</t>
  </si>
  <si>
    <t>1)24.03.2007, не установлена</t>
  </si>
  <si>
    <t xml:space="preserve">1) п.15, ч.1 ст. 15,         2)п.1ч.2, п.1 ч.1, п.3 ч.1, п.4 ч.1, п.4 ч.2, п.6 ч.2 , п.2 ч.1, п.2 ч.2, ст.8, ч.9, ч.17, ст.24, ст.ст.30-33, ст.ст. 41-46, ст.ст.56-57, ст.ст 29.1-29.4       </t>
  </si>
  <si>
    <t xml:space="preserve">ст.18    </t>
  </si>
  <si>
    <t xml:space="preserve">1)Закон Пермского края от 12.03.2007 №12-ПК "О защите населения и территории Пермского края от чрезвычайных ситуаций природного и техногенного характера"   </t>
  </si>
  <si>
    <t xml:space="preserve">31.03.2007, не установлена   </t>
  </si>
  <si>
    <t>1) Федеральный закон от 06.10.2003 № 131-ФЗ "О б общих принципах организации местного самоуправления в Российской Федерации";  2)Федеральный закон от 21.12.1994 № 68-ФЗ "О защите населения и территории от чрезвычайных ситуаций природного и техногенного характера";          3)Федеральный закон от 12.02.1998 № 28-ФЗ "О гражданской обороне";     4) Федеральный закон от 21.12.1994 №69-ФЗ"О пожарной безопасности"</t>
  </si>
  <si>
    <t xml:space="preserve">1)01.01.2006, не установлена; 2)03.01.1995, не установлена; 3)26.02.1998, не установлена; 4)05.01.1995, не установлена   </t>
  </si>
  <si>
    <t>1) п.21, ч.1 ст. 15;               2) ч.2, 2.1 ст.11;             3)ч.2 ст.8;     4)ст.10</t>
  </si>
  <si>
    <t>1) Федеральный закон от 06.10.2003 № 131-ФЗ "О б общих принципах организации местного самоуправления в Российской Федерации"</t>
  </si>
  <si>
    <t>1) п.24, ч.1 ст. 15</t>
  </si>
  <si>
    <t>1) п.1, 25, ч.1 ст. 15;    2)ст.22 гл.6; 3)ст.31;               4)ч.1, ч.3 ст.11.</t>
  </si>
  <si>
    <t>1)01.01.2006, не установлена; 2)01.06.2007, не установлена;   3)15.01.1996, не установлена;    4)24.07.2007, не установлена</t>
  </si>
  <si>
    <t xml:space="preserve">1) Федеральный закон от 06.10.2003 № 131-ФЗ "О б общих принципах организации местного самоуправления в Российской Федерации"; 2)Федеральный Закон от 02.03.2007  №25-ФЗ "О муниципальной службе в Российской Федерации";   3) Федеральный Закон от 12.01.1996 года №7-ФЗ "О некоммерческих организациях";             4)ФЗ от 24.07.2007. № 209-ФЗ "О развитии малого и среднего предпринимательства в РФ"         </t>
  </si>
  <si>
    <t xml:space="preserve">1)п.1.1.,1.2; 2)ст.12;      3)пп.1.3-1.7 разд. I. </t>
  </si>
  <si>
    <t xml:space="preserve">1)08.08.2013, не установлена; 2)24.05.2008, не установлена;          3)24.04.2014, не установлена; </t>
  </si>
  <si>
    <t>1)Закон Пермской области от 07.04.1999 № 458-66 "О государственной политике в сфере культуры, искусства и кинематографии"</t>
  </si>
  <si>
    <t>1)ст. 11, 15</t>
  </si>
  <si>
    <t>1)07.04.1999, не установлен</t>
  </si>
  <si>
    <t xml:space="preserve">1)Федеральный закон от 06.10.2003 № 131-ФЗ "Об общих принципах организации местного самоуправления  в Российской Федерации"  </t>
  </si>
  <si>
    <t xml:space="preserve">1) п.1, ч.1 ст. 15.1;             </t>
  </si>
  <si>
    <t xml:space="preserve">1)01.01.2006, не установлена; </t>
  </si>
  <si>
    <t>1) п.27, ч.1 ст. 15</t>
  </si>
  <si>
    <t>1) Федеральный закон от 06.10.2003 № 131-ФЗ "О б общих принципах организации местного самоуправления в Российской Федерации"; 2)Федеральный закон от 04.12.2007 № 329-ФЗ "О физической культуре и спорте в Российской Федерации"</t>
  </si>
  <si>
    <t>1) п.26, ч.1 ст. 15;                2) п.4ст. 38,</t>
  </si>
  <si>
    <t>1)01.01.2006, не установлена;   2)30.03.2008, не установлена</t>
  </si>
  <si>
    <t>1)Закон Пермской области от 20.07.1995 № 288-50 "О физической культуре и спорте"; 2)Постановление Правительства Пермского края от 14.02.2014 № 79-п "Об установлении расходного обязательства Пермского края
на реализацию проекта "Школьный спортивный клуб
и утверждении Порядка предоставления субсидий бюджетам муниципальных районов (городских округов) Пермского края из бюджета Пермского края в целях софинансирования проекта
"Школьный спортивный клуб""</t>
  </si>
  <si>
    <t>1)ст. 10;    2)в целом</t>
  </si>
  <si>
    <t xml:space="preserve">1)Закон Пермского края от 02.04.2010 № 605-ПК "Об организации и обеспечении отдыха и оздоровления детей в Пермском крае"              </t>
  </si>
  <si>
    <t>1)ст.9, 10</t>
  </si>
  <si>
    <t>1)19.04.2010, не установлена</t>
  </si>
  <si>
    <t>1) п.36 ч.1 ст. 15</t>
  </si>
  <si>
    <t>1) п.4 ч.1 ст.14, ч.4 ст.15</t>
  </si>
  <si>
    <t>1) п.23 ч.1 ст.14, ч.4 ст.15</t>
  </si>
  <si>
    <t>1) п.31 ч.1 ст.14, ч.4 ст.15</t>
  </si>
  <si>
    <t>1) п.19 ч.1 ст.14, ч.4 ст.15</t>
  </si>
  <si>
    <t>1) п.3 ч.1  ст.17</t>
  </si>
  <si>
    <t>1) п.6 ч.1  ст.17</t>
  </si>
  <si>
    <t xml:space="preserve">1) Федеральный закон от 06.10.2003 № 131-ФЗ "О б общих принципах организации местного самоуправления в Российской Федерации"; 2)Закон Российской Федерации от 27.12.1991 № 2124-1  "О средствах массовой информации";       </t>
  </si>
  <si>
    <t>1) п.7 ч.1  ст.17;     2)ст.22</t>
  </si>
  <si>
    <t>1)01.01.2006, не установлена; 2)1)08.02.1992, не установлена</t>
  </si>
  <si>
    <t>1)Федеральный Закон  от 06.10.2003 № 131-ФЗ "О б общих принципах организации местного самоуправления в Российской Федерации" 2)Федеральный закон от 20.08.2004 №113-ФЗ "О присяжных заседателях федеральных судов общей юрисдикции в Российской Федерации" 3)Постановление правительства от 23.05.2005№320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</si>
  <si>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1)ст.19;      2)ст.3,4,5;   3)п.5</t>
  </si>
  <si>
    <t>1)01.01.2006, не установлена; 2) 29.12.2009 не установлена; 3)19.10.2009, не установлена</t>
  </si>
  <si>
    <t>1)Закон Пермского края от 03.02.2008 № 189-ПК "Об утверждении Методики распределения субвенций на осуществление полномочий по составлению списков кандидатов в присяжные заседатели федеральных судов общей юрисдикции Российской Федерации"</t>
  </si>
  <si>
    <t>1)в целом</t>
  </si>
  <si>
    <t>1)Федеральный Закон  от 06.10.2003 № 131-ФЗ "Об общих принципах организации местного самоуправления в Российской Федерации"</t>
  </si>
  <si>
    <t>1)ст.19</t>
  </si>
  <si>
    <t>1)Закон Пермского края от 29.12.2005 № 2768-620 "О передаче органам местного самоуправления отдельных государственных полномочий по обслуживанию получателей средств краевого бюджета"</t>
  </si>
  <si>
    <t>1)ст.6</t>
  </si>
  <si>
    <t>1)12.01.2006, не установлена</t>
  </si>
  <si>
    <t>1)18.02.2008, не установлена</t>
  </si>
  <si>
    <t>1)Закон Пермского края от 18.12.2007 № 159-ПК "О наделении органов местного самоуправления муниципальных районов и городских округов Пермского края государственными полномочиями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2)Постановление Правительства Пермского края от 21.12.2007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</si>
  <si>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 xml:space="preserve">1)ст.6;   2)п.2 </t>
  </si>
  <si>
    <t>1)30.12.2007, не установлена; 2)28.12.2007, не установлена</t>
  </si>
  <si>
    <t>1)ст.19;     2)п.3</t>
  </si>
  <si>
    <t>1)01.01.2006, не установлена; 2)10.12.2002, не установлена</t>
  </si>
  <si>
    <t>1)Закон Пермского края от 12.03.2007 № 18-ПК "О наделении органов местного самоуправления Пермского края полномочиями на государственную регистрацию актов гражданского состояния"</t>
  </si>
  <si>
    <t>1)31.03.2007, не установлена</t>
  </si>
  <si>
    <t>1)Закон Пермского края от 30.08.2010г №668-ПК "О наделении органов местного самоуправления  государственными полномочиями Пермского края по составлению протоколов об административных правонарушениях";                     2) Закон Пермского края от 06.04.2015 №460-ПК "Об административных правонарушениях в Пермском крае";                    3)Постановление Правительства Пермского края от 03.05.2011 №246-п "Об утверждении порядка расходования средств, переданных из регионального фонда компенсаций бюджетам муниципальных образований Пермского края на выполнение государственных полномочий по составлению протоколов об административных правонарушениях"</t>
  </si>
  <si>
    <t>1)01.01.2011, не установлена; 2)19.04.15, не установлена;  3)19.05.2011, не установлена</t>
  </si>
  <si>
    <t>1)ст.3;  2)ст.12.4;   3)в целом</t>
  </si>
  <si>
    <t>1)Федеральный Закон  от 06.10.2003 № 131-ФЗ "Об общих принципах организации местного самоуправления в Российской Федерации";   2)Постановление 
Правительства Российской Федерации от 28.12.2012г. №1460 "Об утверждении правил предоставления и распределения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</si>
  <si>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1)01.01.2006, не установлена; 2)16.01.2013 не установлена</t>
  </si>
  <si>
    <t>1)ст.19;        2)в целом</t>
  </si>
  <si>
    <t>01.01.2013, 
не установлена; 2)с01.01.2013 до 31.12.2020</t>
  </si>
  <si>
    <t>1)ст.3.п2.;    2)в целом</t>
  </si>
  <si>
    <t xml:space="preserve">1)Федеральный Закон  от 06.10.2003 № 131-ФЗ "Об общих принципах организации местного самоуправления в Российской Федерации";  </t>
  </si>
  <si>
    <t xml:space="preserve">1)ст.19;        </t>
  </si>
  <si>
    <t>1)01.01.2006, не установлена; 2)21.07.2005, не установлена;  3)07.08.2015-31.12.2016</t>
  </si>
  <si>
    <t xml:space="preserve">1)ст.19;     2)ст.14;         3)в целом     </t>
  </si>
  <si>
    <t xml:space="preserve">1)Федеральный Закон  от 06.10.2003 № 131-ФЗ "Об общих принципах организации местного самоуправления в Российской Федерации"; 2)Постановление Правительства РФ от 14.02.2009 г. № 112 "Об утверждении правил перевозок пассажиров и багажа автомобильным транспортом и городским назначением электрическим транспортом" </t>
  </si>
  <si>
    <t>1)01.01.2006, не установлена; 2)9.03.2009 г., не установлена</t>
  </si>
  <si>
    <t>1) ст.6;     2)ст.3</t>
  </si>
  <si>
    <t>1)12.10.2006, не установлена; 2)17.10.2006, не установлена</t>
  </si>
  <si>
    <t xml:space="preserve">1)Постановление Правительства Пермского края от 15.10.2015 №843-п «Об утверждении Порядка предоставления субсидий из бюджета Пермского края бюджетам муниципальных образований Пермского края на создание
и реализацию проектов по развитию туристской навигации в Пермском крае» 
</t>
  </si>
  <si>
    <t>1)15.10.2015, не установлена</t>
  </si>
  <si>
    <t xml:space="preserve">1)ст.19;      </t>
  </si>
  <si>
    <t>1)Федеральный Закон  от 06.10.2003 № 131-ФЗ "Об общих принципах организации местного самоуправления в Российской Федерации";   2)Закон РФ от 29.12.2012 № 273-ФЗ "Об образовании в РФ"</t>
  </si>
  <si>
    <t>1)01.01.2006, не установлена;  2)1.09.2013, не установлена</t>
  </si>
  <si>
    <t>1)ст.19;      2)ст.79</t>
  </si>
  <si>
    <t>1)ст.12;      2)ст.6;   3)п.2.1</t>
  </si>
  <si>
    <t>1)27.03.2014, не установлена;  2)09.01.2007,не установлена;     3)31.03.2014,не установлена</t>
  </si>
  <si>
    <t>1)Закон Пермского края от 12.03.2014 г. № 308-ПК "Об  образовании в Пермском крае";    2)Закон ПК от 23.12.2006 № 46-КЗ "О наделении органов местного самоуправления Пермского края отдельными государственными полномочиями в сфере образования";                              3)'Постановление Правительства Пермского края от 21.03.2014 №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t>
  </si>
  <si>
    <t>1)Закон Пермского края от 12.03.2014 г. № 308-ПК "Об  образовании в Пермском крае";   2)'Постановление Правительства Пермского края от 14.02.2014 № 78-п "Об утверждении Порядка предоставления и расходования субвенций из бюджета Пермского края местным бюджетам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</si>
  <si>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1)ст.12;   2)п.2.1.</t>
  </si>
  <si>
    <t>1)27.03.2014, не установлена; 2)'07.03.2014,не установлена</t>
  </si>
  <si>
    <t>1)Закон ПК от 14.11.2008 № 339-ПК "О наделении органов местного самоуправления Пермского края государственными полномочиями Пермского края по предоставлению мер социальной поддержки педагогическим работникам"; 2)Закон Пермского края от 12.03.2014 г. № 308-ПК "Об  образовании в Пермском крае";       3)'Постановление Правительства ПК от 25.07.2014 № 689-п Об утверждении Порядка выплаты и возврата единовременного государственного пособия педагогическому работнику и формы договора о предоставлении единовременного государственного пособия педагогическому работнику"</t>
  </si>
  <si>
    <t>1)ст.8;       2)ст.22;       3)в целом</t>
  </si>
  <si>
    <t>1)01.12.2008,не установлена;   2)27.03.2014, не установлена;   3)15.08.2014,не установлена</t>
  </si>
  <si>
    <t xml:space="preserve">1)ст.19; </t>
  </si>
  <si>
    <t xml:space="preserve">1)Федеральный Закон  от 06.10.2003 № 131-ФЗ "Об общих принципах организации местного самоуправления в Российской Федерации";   </t>
  </si>
  <si>
    <t>1)Закон ПК от 23.12.2006 № 46-КЗ "О наделении органов местного самоуправления Пермского края отдельными государственными полномочиями в сфере образования";                              2)'Постановление Правительства Пермского края от 21.03.2014 №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t>
  </si>
  <si>
    <t>2)09.01.2007,не установлена;     3)31.03.2014,не установлена</t>
  </si>
  <si>
    <t>1)ст.6;     2)п.2.1</t>
  </si>
  <si>
    <t>1)ст.19;      2)п.3ч.1 ст.8, п.2 ст.99</t>
  </si>
  <si>
    <t xml:space="preserve">1)ст.19;      2)п.3ч.1ст.8 </t>
  </si>
  <si>
    <t xml:space="preserve">1)01.01.2006, не установлена;  </t>
  </si>
  <si>
    <t>1)17.02.2008,не установлена;   2)20.06.2014,не установлена</t>
  </si>
  <si>
    <t>1)ст.7, п 1.1,                     2)в целом</t>
  </si>
  <si>
    <t xml:space="preserve">1)Закон Пермского края от 02.04.2010 № 605-ПК "Об организации и обеспечении отдыха и оздоровления детей в Пермском крае";                                            2)Постановление Правительства ПК от 29.03.2010 № 129-п "О субвенциях из регионального фонда компенсаций на выполнение государственных полномочий по организации оздоровления и отдыха детей";                                  3)Приказ Министерства социального развития Пермского края от 04.05.2011 № СЭД-33-01-02-83 "Об утверждении Порядка предоставления компенсации"                            </t>
  </si>
  <si>
    <t>1)ст.10;        2)п.3;           3)в целом</t>
  </si>
  <si>
    <t>1)19.04.2010, не установлена;  2)15.04.2010, не установлена;   3)14.05.2011, не установлена</t>
  </si>
  <si>
    <t>1)Федеральный Закон  от 06.10.2003 № 131-ФЗ "О б общих принципах организации местного самоуправления в Российской Федерации"; 2)Федеральный закон от 22.10.2004 N 125-ФЗ  "Об архивном деле в Российской Федерации"</t>
  </si>
  <si>
    <t>1)01.01.2006, не установлена;   2)06.11.2004, не установлена</t>
  </si>
  <si>
    <t>1)ст.19;         2)п.2 ст.4</t>
  </si>
  <si>
    <t>1)ст.5;      2)п.3;    3)ст.5</t>
  </si>
  <si>
    <t>1)23.07.2007, не установлена; 2)03.05.12, не установлена; 3)16.03.2007, не установлена</t>
  </si>
  <si>
    <t>1)ст.7;         2)в целом</t>
  </si>
  <si>
    <t>1)01.09.2011, не установлена;   2)01.09.2011, не установлена</t>
  </si>
  <si>
    <t>1)ст.3, п.3;    2)п.3.1., 3.2., 3.3.;   3)в целом</t>
  </si>
  <si>
    <t>1)18.06.2010, не установлена; 2)26.06.2010, не установлена;  3)20.02.2009, не установлена</t>
  </si>
  <si>
    <t xml:space="preserve">1)Федеральный Закон  от 06.10.2003 № 131-ФЗ "Об общих принципах организации местного самоуправления в Российской Федерации";  2)закон РФ от 29.12.2012 № 273-ФЗ "Об образовании в РФ" </t>
  </si>
  <si>
    <t>1)01.01.2006, не установлена;  2)01.09.2013, не установлена</t>
  </si>
  <si>
    <t>1)Закон Пермской области от 09.09.1996 № 533-83 "Об охране семьи, материнства, отцовства и детства";                                          2)Закон Пермского края от 10.09.2008 № 290-ПК "О наделении органов местного самоуправления Пермского края государственными полномочиями по предоставлению мер социальной поддержки учащимся из малоимущих многодетных и малоимущих семей";                    3)Постановление Правительства ПК от 06.07.2007 № 130-п "О предоставлении мер социальной поддержки малоимущим семьям, имеющим детей, и беременным женщинам"</t>
  </si>
  <si>
    <t>1)ст.8;       2)ст.6;        3)п.4</t>
  </si>
  <si>
    <t>1)09.09.1996,не установлена; 2)07.10.2008, не установлена; 3)28.08.2007,не установлена</t>
  </si>
  <si>
    <t>1)ст.19;     2)п.5 ст.65</t>
  </si>
  <si>
    <t>1)ст.19;         2) п.п.1,2 п.2 ст.34,</t>
  </si>
  <si>
    <t>1)п.3 ст.2, ст.6</t>
  </si>
  <si>
    <t>1)07.01.2008,не установлена</t>
  </si>
  <si>
    <t xml:space="preserve">1)Закон Пермского края от 28.12.2007 № 172-ПК "О наделении органов местного самоуправления Пермского края государственными полномочиями по выплате компенсации части родительской платы за присмотр и уход за ребенком в образовательных организациях, реализующих общеобразовательную программу дошкольного образования" </t>
  </si>
  <si>
    <t>1)Федеральный Закон  от 06.10.2003 № 131-ФЗ "Об общих принципах организации местного самоуправления в Российской Федерации";      2))Федеральный Закон от 24.06.1999 №120-ФЗ (ред.от 13.07.2015г) "Об основах системы профилактики безнадзорности и правонарушений несовершеннолетних"</t>
  </si>
  <si>
    <t>1)ст.19;      2)ст.11</t>
  </si>
  <si>
    <t>1)01.01.2006, не установлена;  2)04.07.1999, не установлена</t>
  </si>
  <si>
    <t>1) ст.4;       2) п.1;     3)п.3;         4) ст.24</t>
  </si>
  <si>
    <t xml:space="preserve">1)Федеральный Закон  от 06.10.2003 № 131-ФЗ "Об общих принципах организации местного самоуправления в Российской Федерации"   </t>
  </si>
  <si>
    <t>1)Закон Пермского края от 12.10.2006 № 19-КЗ "Об основах организации транспортного обслуживания населения на территории Пермского края";        2)Закон Пермского края от 17.10.2006 № 20-КЗ «О передаче органам местного самоуправления Пермского края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</si>
  <si>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1)01.01.2007, не установлена;  2)04.11.2006, не установлена</t>
  </si>
  <si>
    <t>1)ст.9;        2)в целом</t>
  </si>
  <si>
    <t xml:space="preserve">1)Федеральный Закон  от 06.10.2003 № 131-ФЗ "Об общих принципах организации местного самоуправления в Российской Федерации";  2)Указ Президента РФ от 07.05.2008 № 714 «Об обеспечении жильем ветеранов Великой Отечественной войны 1941-1945 годов»;   3)Федеральный закон от 12.01.1995 N 5-ФЗ "О ветеранах"
</t>
  </si>
  <si>
    <t>1)ст.19;       2)в целом;    3)ст.23.2</t>
  </si>
  <si>
    <t>1)01.01.2006, не установлена;  2)07.05.2008, не установлена; 3)22.01.1995, не установлена</t>
  </si>
  <si>
    <t>1)Федеральный Закон  от 06.10.2003 № 131-ФЗ "Об общих принципах организации местного самоуправления в Российской Федерации";   2)Федеральный закон от 12.01.1995 N 5-ФЗ "О ветеранах;                        3)Федеральный закон от 24.11.1995 №181-ФЗ "О социальной защите инвалидов в Российской Федерации"</t>
  </si>
  <si>
    <t>1)ст.19; 2)ст.23.2;       3)ст.28.2</t>
  </si>
  <si>
    <t>1)01.01.2006, не установлена;   2)22.01.1995, не установлена;   3)04.12.1995, не установлена</t>
  </si>
  <si>
    <t>14          14</t>
  </si>
  <si>
    <t>1)Федеральный закон от 06.10.2003 № 131-ФЗ "Об общих принципах организации местного самоуправления в Российской Федерации"</t>
  </si>
  <si>
    <t>1) п.20 ч.1 ст.15, ст.60,</t>
  </si>
  <si>
    <t>1)01.01.2006,                не установлена</t>
  </si>
  <si>
    <t>1)Закон Пермского края от 13.09.2006 №11-КЗ "О методиках распределения межбюджетных трансфертов в Пермском крае"</t>
  </si>
  <si>
    <t>1)ст.1</t>
  </si>
  <si>
    <t>1)01.10.2006, не установлена</t>
  </si>
  <si>
    <t>1)Постановление Правительства РФ от 29.12.2010 № 1186 "Об утверждении Правил предоставления из федерального бюджета бюджетам субъектов РФ иных межбюджетных трансфертов на комплектование книжных фондов библиотек муниципальных образований"</t>
  </si>
  <si>
    <t>1)Постановление Правительства Пермского края от 14.02.2012 № 62-п "Об утверждении Правил предоставления иных межбюджетных трансфертов, передаваемых бюджетам муниципальных районов (городских округов) Пермского края на комплектование книжных фондов, в том числе на приобретение литературно-художественных журналов и(или) на их подписку, библиотек муниципальных образований Пермского края за счет средств федерального бюджета"</t>
  </si>
  <si>
    <t>1)29.12.2010, не установлена</t>
  </si>
  <si>
    <t>1)Федеральный закон РФ от 21.07.2007 № 185-ФЗ «О Фонде содействия реформированию жилищно-коммунального хозяйства»</t>
  </si>
  <si>
    <t>1)23.07.2007, не установлена</t>
  </si>
  <si>
    <t xml:space="preserve">1)п.27 ч.1 ст.15, ч.4 ст.15, </t>
  </si>
  <si>
    <t xml:space="preserve">1)п.19 ч.1 ст.15, ч.4 ст.15, </t>
  </si>
  <si>
    <t>1)ст.20.8</t>
  </si>
  <si>
    <t xml:space="preserve">1)Постановление Правительства Пермского края от 04.07.2014 №582-п "Об утверждении Методики распределения средств, поступивших от государственной корпорации - Фонда содействия реформированию жилищно-коммунального хозяйства, бюджетам муниципальных образований Пермского края в форме субсидий на обеспечение мероприятий по переселению граждан из аварийного жилищного фонда и Порядка предоставления и расходования средств, поступивших от государственной корпорации - Фонда содействия реформированию жилищно-коммунального хозяйства, бюджетам муниципальных образований Пермского края в форме субсидий на обеспечение мероприятий по переселению граждан из аварийного жилищного фонда";                   2)Постановление Правительства Пермского края от 29.05.2013 №579-п "Об утверждении региональной адресной Программы по переселению граждан из аварийного жилищного фонда на территории Пермского края на 2013-2017 годы, объемов расходов по приоритетному региональному проекту "Достойное жилье" на 2013 год"
</t>
  </si>
  <si>
    <t>1)17.07.2014, не установлена;  2)13.06.2013- 31.12.2017</t>
  </si>
  <si>
    <t>1)в целом;  2)в целом</t>
  </si>
  <si>
    <t>05          10</t>
  </si>
  <si>
    <t>01         03</t>
  </si>
  <si>
    <t>1)13.04.2011, не установлена</t>
  </si>
  <si>
    <t>1)Постановление Правительства Пермского края от 13.04.2011 №188-п " Об утверждении порядка предоставления из бюджета Перского края иных межбюджетных трансфертов бюджетам муниципальных образований Пермского края на решение вопросов местного значения, осуществляемых с участиес средств самооблажения граждан"</t>
  </si>
  <si>
    <t xml:space="preserve">1)ст.14 </t>
  </si>
  <si>
    <t xml:space="preserve">1)Постановление Правительства Пермского края от 13.11.2015 №979-п "О предоставлении и расходовании субсидий бюджетам муниципальных районов (городских округов) Пермского края на развитие учреждений культуры, за исключением субсидий на софинансирование объектов капитального строительства, связанных с созданием модельных библиотек (для целей модернизации сельской библиотечной сети) на территории Пермского края, за счет средств федерального бюджета в 2015 году"
</t>
  </si>
  <si>
    <t xml:space="preserve">1)Постановление Правительства РФ от 03.03.2012 №186 "О федеральной целевой программе "Культура России (2012 - 2018 годы)"
2)Распоряжение Правительства РФ от 11.06.2015 №1080-р
"О распределении субсидий, предоставляемых в 2015 году из федерального бюджета на софинансирование расходных обязательств субъектов Российской Федерации по развитию учреждений культуры"
</t>
  </si>
  <si>
    <t>1)Приложение 4;                   2)раздел2</t>
  </si>
  <si>
    <t>1)03.03.2012, 31.12.2018;     2)11.06.2015-31.12.2015</t>
  </si>
  <si>
    <t>1)13.11.2015-31.12.2015</t>
  </si>
  <si>
    <t xml:space="preserve">1)Постановление Правительства Пермского края от 12.01.2015 №10-п "Об утверждении Порядка предоставления субсидий из бюджета Пермского края бюджетам муниципальных образований Пермского края на софинансирование мероприятий по реализации социально значимых проектов территориального общественного самоуправления"
</t>
  </si>
  <si>
    <t>1)24.01.2015, не установлена</t>
  </si>
  <si>
    <t xml:space="preserve">1)Постановление Правительства Пермского края от 07.09.2015 №612-п "Об утверждении Порядка предоставления бюджетам муниципальных образований Пермского края субсидий за счет средств федерального бюджета на грантовую поддержку местных инициатив граждан, проживающих в сельской местности"
</t>
  </si>
  <si>
    <t>1)07.09.2015, не установлена</t>
  </si>
  <si>
    <t xml:space="preserve">1)Постановление Правительства РФ от 15.07.2013 №598 "О федеральной целевой программе "Устойчивое развитие сельских территорий на 2014 - 2017 годы и на период до 2020 года"
</t>
  </si>
  <si>
    <t>1)01.01.2014-31.12.2017</t>
  </si>
  <si>
    <t>1)приложение 10</t>
  </si>
  <si>
    <t>1)Федеральный закон от 06.10.2003 № 131-ФЗ "Об общих принципах организации местного самоуправления  в Российской Федерации"; 2)Федеральный закон от 21.07.1997г. № 122-ФЗ "О государственной регистрации прав на недвижимое имущество и сделок с ним"; 3)Федеральный закон от 29.07.1998г. № 135-ФЗ "Об оценочной деятельности в Российской Федерации";       4)Федеральный закон от 21.12.2001 № 178-ФЗ "О приватизации государственного и муниципального имущества"</t>
  </si>
  <si>
    <t>1)п.20.ч.1.,ч.4 ст.14, п.1,п.3,п.15 ч.1.ст.15; 2)ст.4, 33; 3)ст.8;             4)ст.12</t>
  </si>
  <si>
    <t>1) Федеральный закон от 06.10.2003 № 131-ФЗ "О б общих принципах организации местного самоуправления в Российской Федерации"; 2)Федеральный закон от 21.12.1994 №68-ФЗ "О защите населения и территорий от чрезвычайных ситуаций природного и техногенного характера"</t>
  </si>
  <si>
    <t xml:space="preserve">1) п.7 ч.1 ст. 15,               2)ст.11           </t>
  </si>
  <si>
    <t xml:space="preserve">1)01.01.2006, не установлена, 2)03.01.1995, не установлена  </t>
  </si>
  <si>
    <t>1)Закон Пермского края от 12.03.2007 № 12-ПК «О защите населения и территорий Пермского края от чрезвычайных ситуаций природного и техногенного характера»</t>
  </si>
  <si>
    <t>1)30.03.2007, не установлен</t>
  </si>
  <si>
    <t>1)ст.8</t>
  </si>
  <si>
    <t xml:space="preserve">1) Федеральный закон от 06.10.2003 № 131-ФЗ "Об общих принципах организации местного самоуправления в Российской Федерации";  2)Федеральный закон от 28.12.2010 №390-ФЗ "О безопасности"
</t>
  </si>
  <si>
    <t xml:space="preserve">1)01.01.2006, не установлена,  2)08.01.2011, не установлена </t>
  </si>
  <si>
    <t xml:space="preserve">1) п.6.1 ч.1 ст. 15,         2)ст.12               </t>
  </si>
  <si>
    <t>1)п.17 ч.1 ст.15;             2)ст.25</t>
  </si>
  <si>
    <t xml:space="preserve">1)Федеральный закон от 06.10.2003 № 131-ФЗ "Об общих принципах организации местного самоуправления  в Российской Федерации";   2)Федеральный закон от 12.01.1996 №8-ФЗ "О погребении и похоронном деле"
</t>
  </si>
  <si>
    <t>1)01.01.2006, не установлена; 2)25.01.1996, не установлена</t>
  </si>
  <si>
    <t xml:space="preserve">1) Федеральный закон от 06.10.2003 № 131-ФЗ "О б общих принципах организации местного самоуправления в Российской Федерации";   2)Федеральный закон Российской Федерации от 8 ноября 2007 г.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</si>
  <si>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1) п.5 ч.1 ст.14, ч.4 ст.15;            2) ст. 13, гл.2.; </t>
  </si>
  <si>
    <t>1)01.01.2006, не установлена; 2)12.11.2007, не установлена</t>
  </si>
  <si>
    <t>1)ст.4</t>
  </si>
  <si>
    <t xml:space="preserve">1)Закон Пермского края от 12.10.2006 №19-КЗ "Об основах организации транспортного обслуживания населения на территории Пермского края"
</t>
  </si>
  <si>
    <t>1)29.10.2006, не установлена</t>
  </si>
  <si>
    <t xml:space="preserve">1) Федеральный закон от 06.10.2003 № 131-ФЗ "О б общих принципах организации местного самоуправления в Российской Федерации";   2)Федеральный Закон от 02.03.2007  №25-ФЗ "О муниципальной службе в Российской Федерации"; 3)Федеральный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    </t>
  </si>
  <si>
    <t>1) п.1 ч.1 ст.14, ч.4 ст.15;            2)2)ст.22 гл.6;    3)ст.1</t>
  </si>
  <si>
    <t xml:space="preserve">1)01.01.2006, не установлена;   2)2)01.06.2007, не установлена; 3)01.10.2011, не установлена      </t>
  </si>
  <si>
    <t>1) Федеральный закон от 06.10.2003 № 131-ФЗ "О б общих принципах организации местного самоуправления в Российской Федерации";     2)Постановление Правительства РФ от 06.02.2006 № 75 "О порядке  проведения ОМС открытого конкурса по отбору Управляющей организации для управления многоквартирным домом"</t>
  </si>
  <si>
    <t>1) п.3 ч.1 ст.14, ч.4 ст.15;               2)в целом</t>
  </si>
  <si>
    <t>1)01.01.2006, не установлена; 2)22.02.2006, не установлена</t>
  </si>
  <si>
    <t xml:space="preserve">1) Федеральный закон от 06.10.2003 № 131-ФЗ "О б общих принципах организации местного самоуправления в Российской Федерации";  2)Закон Российской Федерации от 09.10.1992 № 3612-1 "Основы законодательства Российской Федерации о культуре";     </t>
  </si>
  <si>
    <t xml:space="preserve">1)01.01.2006, не установлена; 2)09.10.1992, не установлена; </t>
  </si>
  <si>
    <t xml:space="preserve">1) п.12 ч.1 ст.14, ч.4 ст.15;           2)ст.40;    </t>
  </si>
  <si>
    <t xml:space="preserve">1) п.8, ч.1 ст. 15.1;               2)Приложение 6            </t>
  </si>
  <si>
    <t>1)Федеральный закон от 06.10.2003 № 131-ФЗ "Об общих принципах организации местного самоуправления  в Российской Федерации";     2)Постановление Правительства РФ от 02.08.2011 г. № 644 "О федеральной целевой программе "Развитие внутреннего и въездного туризма в Российской Федерации (2011-2018 годы)"</t>
  </si>
  <si>
    <t xml:space="preserve">1)01.01.2006, не установлена; 2)02.08.2011-31.12.2018 </t>
  </si>
  <si>
    <t>Ст.14;Часть 1;Пункт 1</t>
  </si>
  <si>
    <t>Федеральный закон от 06.10.2003 № 131-ФЗ "О б общих принципах организации местного самоуправления в Российской Федерации"</t>
  </si>
  <si>
    <t>1)Федеральный закон от 06.10.2003 № 131-ФЗ "Об общих принципах организации местного самоуправления  в Российской Федерации"; 2)Федеральный закон от 21.07.1997г. № 122-ФЗ "О государственной регистрации прав на недвижимое имущество и сделок с ним";  3)Федеральный закон от 21.12.2001 № 178-ФЗ "О приватизации государственного и муниципального имущества"</t>
  </si>
  <si>
    <t>1)Ст.14;Часть 1;Пункт 3 2)ст.4 ;          3)ст.12</t>
  </si>
  <si>
    <t>1)01.01.2006, не установлена; 2)21.007.1997, не установлена; 3)29.07.1998, не установлена;   4)26.04.2002, не установлена</t>
  </si>
  <si>
    <t>1)01.01.2006, не установлена; 2)21.07.1997, не установлена;   3)26.04.2002, не установлена</t>
  </si>
  <si>
    <t>Указ Губернатора Пермского края от 15.02.2006 № 13 "Об утверждении Регламента передачи имущества во временное безвозмездное пользование органам местного самоуправления вновь образованных поселений в Пермском крае"</t>
  </si>
  <si>
    <t>Часть 3;  Пункт 3.1</t>
  </si>
  <si>
    <t>1)Федеральный закон от 06.10.2003 № 131-ФЗ "О б общих принципах организации местного самоуправления в Российской Федерации"; 2)Федеральный закон РФ от 21.12.1994 № 69-ФЗ «О пожарной безопасности»</t>
  </si>
  <si>
    <t>1)Ст.14;Часть 1;Пункт 9; 2)Ст.19</t>
  </si>
  <si>
    <t>Закон Пермского края от 24.11.2006 № 31-КЗ "Об обеспечении пожарной безопасности в Пермском крае"</t>
  </si>
  <si>
    <t>01.01.2007 - не установ</t>
  </si>
  <si>
    <t>в целом</t>
  </si>
  <si>
    <t xml:space="preserve">1)Федеральный закон от 06.10.2003 № 131-ФЗ "О б общих принципах организации местного самоуправления в Российской Федерации"; 2)Закон Российской Федерации от 09.10.1992 № 3612-1 "Основы законодательства Российской Федерации о культуре";      </t>
  </si>
  <si>
    <t>1)Ст.14;   Часть 1;Пункт 12; 2) Ст. 40;</t>
  </si>
  <si>
    <t>1) Указ Губернатора Пермской области от 17.11.1999 № 165 "О ежемесячной надбавке к должностному окладу (тарифной ставке) за выслугу лет работникам культуры, искусства и кинематографии"; 2)Закон Пермской области от 07.04.1999 № 458-66 "О государственной политике в сфере культуры, искусства и кинематографии"</t>
  </si>
  <si>
    <t>1) в целом;  2)ст. 11, 15;</t>
  </si>
  <si>
    <t>1)Ст.14;   Часть 1;Пункт 14; 2)Ст.9;Пункт 1</t>
  </si>
  <si>
    <t xml:space="preserve">1)Федеральный закон от 06.10.2003 № 131-ФЗ "О б общих принципах организации местного самоуправления в Российской Федерации"; 2)Федеральный закон РФ от 04.12.2007 № 329-ФЗ "О физической культуре и спорте в Российской Федерации"       </t>
  </si>
  <si>
    <t>1)16.08.1995, не установлена; 2)06.03.2014, не установлена</t>
  </si>
  <si>
    <t xml:space="preserve">ст. 10; </t>
  </si>
  <si>
    <t>16.08.1995, не установлена;</t>
  </si>
  <si>
    <t>Закон Пермской области от 20.07.1995 № 288-50 "О физической культуре и спорте";</t>
  </si>
  <si>
    <t xml:space="preserve">Федеральный закон от 06.10.2003 № 131-ФЗ "О б общих принципах организации местного самоуправления в Российской Федерации"; </t>
  </si>
  <si>
    <t xml:space="preserve">Ст.14;   Часть 1;Пункт 19; </t>
  </si>
  <si>
    <t>Распоряжение Губернатора Пермской области от 30.09.1999 № 436-р "О разработке Правил благоустройства и содержания территорий городских и сельских поселений"</t>
  </si>
  <si>
    <t>1) Федеральный закон от 06.10.2003 № 131-ФЗ "О б общих принципах организации местного самоуправления в Российской Федерации"; 2) Постановление ВС РФ от 03.06.1993 № 5090-1 "Об Основных направлениях государственной молодежной политики в Российской Федерации"</t>
  </si>
  <si>
    <t>1)Ст.14;   Часть 1;Пункт 30; 2) Часть 3;Абз.5;</t>
  </si>
  <si>
    <t>Закон Пермского края от 09.07.2015 № 511-ПК "Об отдельных вопросах участия граждан в охране общественного порядка на территории Пермского края "</t>
  </si>
  <si>
    <t xml:space="preserve">Ст.14;   Часть 1;Пункт 33; </t>
  </si>
  <si>
    <t xml:space="preserve"> 20.07.2015, не установлена; </t>
  </si>
  <si>
    <t xml:space="preserve">Ст.14;   Часть 1;Пункт 4; </t>
  </si>
  <si>
    <t xml:space="preserve">1) Федеральный закон от 06.10.2003 № 131-ФЗ "О б общих принципах организации местного самоуправления в Российской Федерации"; 2) Федеральный закон Российской Федерации от 8 ноября 2007 г.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Приказ Минтранса России от 16.11.2012 N 402
"Об утверждении Классификации работ по капитальному ремонту, ремонту и содержанию автомобильных дорог" </t>
  </si>
  <si>
    <t>1) Ст.14;   Часть 1; Пункт 5; 2) глава2. ст. 13;  3) в целом;</t>
  </si>
  <si>
    <t>1)01.01.2012, не установлена; 2) 01.01.2015, не установлена; 3)21.05.2012, не установлена</t>
  </si>
  <si>
    <t xml:space="preserve">1)01.01.2012, не установлена; 2) 1.01.2015, не установлена; </t>
  </si>
  <si>
    <t xml:space="preserve">1) в целом;  2)в целом;  </t>
  </si>
  <si>
    <t xml:space="preserve">1) Закон Пермского края от 01.12.2011 N 859-ПК "О дорожном фонде Пермского края и о внесении изменения в Закон Пермского края "О бюджетном процессе в Пермском крае";  2) Постановление Правительства Пермского края от 12.12.2014 N 1447-п "Об утверждении Порядка предоставления   субсидий бюджетам муниципальных образований Пермского края на строительство (реконструкцию), капитальный ремонт и ремонт автомобильных дорог общего пользования местного значения, находящихся на территории Пермского края";                                </t>
  </si>
  <si>
    <t>1) Федеральный закон от 06.10.2003 № 131-ФЗ "О б общих принципах организации местного самоуправления в Российской Федерации"; 2) Федеральный закон РФ от 21.07.2007 № 185-ФЗ "О Фонде содействия реформированию жилищно-коммунального хозяйства"</t>
  </si>
  <si>
    <t>1) Ст.14;   Часть 1; Пункт 6;2) в целом;</t>
  </si>
  <si>
    <t>Закон Пермского края от 12.10.2006 № 19-КЗ "Об основах организации транспортного обслуживания населения на территории Пермского края"</t>
  </si>
  <si>
    <t>Ст.4;Пункт 4;</t>
  </si>
  <si>
    <t xml:space="preserve"> Федеральный закон от 06.10.2003 № 131-ФЗ "О б общих принципах организации местного самоуправления в Российской Федерации"; </t>
  </si>
  <si>
    <t xml:space="preserve">Ст.14;   Часть 1; Пункт 7; </t>
  </si>
  <si>
    <t>Закон Пермского края от 12.03.2007 № 12-ПК «О защите населения и территорий Пермского края от чрезвычайных ситуаций природного и техногенного характера»</t>
  </si>
  <si>
    <t>Ст.18;Абз.2</t>
  </si>
  <si>
    <t xml:space="preserve"> 1) Федеральный закон от 06.10.2003 № 131-ФЗ "О б общих принципах организации местного самоуправления в Российской Федерации"; 2)Закон Российской Федерации  от 09.10.1992 № 3612-1 "Основы законодательства Российской Федерации о культуре"</t>
  </si>
  <si>
    <t>1) Ст.14;   Часть 1; Пункт 8; 2) Ст. 40;</t>
  </si>
  <si>
    <t>1) Указ Губернатора Пермской области от 17.11.1999 № 165 "О ежемесячной надбавке к должностному окладу (тарифной ставке) за выслугу лет работникам культуры, искусства и кинематографии"; 2)Закон Пермской области от 07.04.1999 № 458-66 "О государственной политике в сфере культуры, искусства и кинематографии"; 3) Закон  Пермского  края от 05.03.2008 № 205-ПК "О библиотечном деле в Пермском крае";</t>
  </si>
  <si>
    <t>1) в целом;  2)Глава 3; ст. 11; 3)Глава 7; Ст.24;</t>
  </si>
  <si>
    <t xml:space="preserve"> 1) Федеральный закон от 06.10.2003 № 131-ФЗ "О б общих принципах организации местного самоуправления в Российской Федерации"; 2) Федеральный закон РФ от 10.01.2002 № 7-ФЗ «Об охране окружающей среды»; 3)Федеральный закон от 24.06.1998 № 89-ФЗ «Об отходах производства и потребления»;</t>
  </si>
  <si>
    <t>1) Ст.14;   Часть 1; Пункт 18; 2) Ст.7;Пункт 1; 3) Ст.8;Пункт 1;</t>
  </si>
  <si>
    <t>Ст.2</t>
  </si>
  <si>
    <t>1) Федеральный закон от 06.10.2003 № 131-ФЗ "О б общих принципах организации местного самоуправления в Российской Федерации"; 2) Кодекс РФ от 29.12.2004 № 190-ФЗ Градостроительный кодекс Российской Федерации;</t>
  </si>
  <si>
    <t>1)Ст.14;   Часть 1; Пункт 20; 2)Ст.8;Пункт 1;</t>
  </si>
  <si>
    <t>1) Федеральный закон от 06.10.2003 № 131-ФЗ "О б общих принципах организации местного самоуправления в Российской Федерации"; 2)Федеральный закон  РФ от 12.01.1996 № 8-ФЗ "О погребении и похоронном деле";</t>
  </si>
  <si>
    <t>1)Ст.14;   Часть 1; Пункт 22; 2)в целом;</t>
  </si>
  <si>
    <t xml:space="preserve">Ст.14;   Часть 1; Пункт 23; </t>
  </si>
  <si>
    <t>Постановление Правительства Пермского края от 10.08.2006 № 22-п "Об утверждении Правил охраны жизни людей на воде на территории Пермского края";</t>
  </si>
  <si>
    <t xml:space="preserve"> Ст.14;   Часть 1; Пункт 26; </t>
  </si>
  <si>
    <t xml:space="preserve"> в целом;</t>
  </si>
  <si>
    <t xml:space="preserve"> Ст.14;   Часть 1; Пункт 33.1; </t>
  </si>
  <si>
    <t>1)01.01.2006, не установлена; 2)30.03.2008, не установлена</t>
  </si>
  <si>
    <t xml:space="preserve">1)01.01.2006, не установлена; 2) 09.10.1992, не установлена;  </t>
  </si>
  <si>
    <t>1)01.01.2006, не установлена;   2) 21.12.1994, не установлена</t>
  </si>
  <si>
    <t>01.01.2006, не установлена</t>
  </si>
  <si>
    <t>01.01.2006, не установлена;</t>
  </si>
  <si>
    <t>1) 01.01.2006, не установлена;2) 03.06.1993 - не установлена</t>
  </si>
  <si>
    <t xml:space="preserve"> 01.01.2006, не установлена;</t>
  </si>
  <si>
    <t>1)  01.01.2006, не установлена; 2) 12.11.2007, не установлена; 3) 16.06.2013, не установлена</t>
  </si>
  <si>
    <t xml:space="preserve">  01.01.2006, не установлена;</t>
  </si>
  <si>
    <t xml:space="preserve"> 1)  01.01.2006, не установлена; 2) 09.10.1992, не установлена;  </t>
  </si>
  <si>
    <t>1)  01.01.2006, не установлена; 2)21.07.2007 - не установлена;</t>
  </si>
  <si>
    <t>1) 01.01.2006, не установлена; 2) 29.12.2004, не установлена;</t>
  </si>
  <si>
    <t>02.09.2006, не установлена;</t>
  </si>
  <si>
    <t>04.03.2006, не установлена</t>
  </si>
  <si>
    <t>01.01.2007, не установлена</t>
  </si>
  <si>
    <t>1) 17.11.1999, не установлена; 2) 07.04.1999, не установлена;</t>
  </si>
  <si>
    <t>30.09.1999, не установлена;</t>
  </si>
  <si>
    <t>31.03.2007, не установлена;</t>
  </si>
  <si>
    <t>1) 17.11.1999, не установлена; 2) 07.04.1999, не установлена; 3) 24.03.2008, не установлена;</t>
  </si>
  <si>
    <t>1) 01.01.2006, не установлена; 2)12.01.2002, не установлена; 3) 29.06.1998, не установлена;</t>
  </si>
  <si>
    <t>1) 01.01.2006, не установлена; 2) 15.01.1996, не установлена;</t>
  </si>
  <si>
    <t xml:space="preserve"> 1) Федеральный закон от 06.10.2003 № 131-ФЗ "О б общих принципах организации местного самоуправления в Российской Федерации"; 2) Федеральный закон РФ от 02.03.2007 № 25-ФЗ "О муниципальной службе в Российской Федерации";</t>
  </si>
  <si>
    <t xml:space="preserve"> 1) Ст.17; Часть 1; 2) Ст.22;</t>
  </si>
  <si>
    <t>1) 01.01.2006, не установлена; 2)01.06.2007, не установлена;</t>
  </si>
  <si>
    <t xml:space="preserve">1)Закон Пермского края от 04.05.2008 №228-ПК "О муниципальной службе в Пермском крае" ;  2)Постановление Правительства Пермского края от 08.06.2010 № 301-п  "Об утверждении нормативов формирования расходов на содержание органов местного самоуправления муниципальных образований Пермского края на 2015 год и на плановый период 2016 и 2017 годов" ; 3) Закон Пермского края от 19.11.2009 № 546-ПК "О пенсии за выслугу лет лицам, замещающим государственные должности Пермской области, Коми-Пермяцкого автономного округа, Пермского края и муниципальные должности в муниципальных образованиях Пермской области, Коми-Пермяцкого автономного округа, Пермского края";     </t>
  </si>
  <si>
    <t>1)24.05.2008, не установлена;  2)15.06.2010, не установлена; 3)01.01.2010, не установлена;</t>
  </si>
  <si>
    <t>1) Ст.17; 2) п.1.3.;3) в целом;</t>
  </si>
  <si>
    <t>29.08.2007, не установлена</t>
  </si>
  <si>
    <t>Закон Пермского края от 14.08.2007 № 86-ПК "О местном референдуме в Пермском крае"</t>
  </si>
  <si>
    <t>Ст.15,16;</t>
  </si>
  <si>
    <t xml:space="preserve">  Ст.17; Часть 1; Пункт 5; </t>
  </si>
  <si>
    <t xml:space="preserve">01.01.2006, не установлена; </t>
  </si>
  <si>
    <t xml:space="preserve">  Ст.17; Часть 1; Пункт 6; </t>
  </si>
  <si>
    <t xml:space="preserve">  Ст.17; Часть 1; Пункт 6.1; </t>
  </si>
  <si>
    <t xml:space="preserve">  Ст.17; Часть 1; Пункт 7; </t>
  </si>
  <si>
    <t xml:space="preserve">Ст.15; Часть 4; </t>
  </si>
  <si>
    <t xml:space="preserve">1) Федеральный закон от 06.10.2003 № 131-ФЗ "О б общих принципах организации местного самоуправления в Российской Федерации"; 2) Кодекс РФ от 29.12.2004 № 188-ФЗ Жилищный кодекс Российской Федерации; </t>
  </si>
  <si>
    <t xml:space="preserve">1) Ст.15; Часть 4; 2) в целом; </t>
  </si>
  <si>
    <t xml:space="preserve">1)Федеральный закон от 06.10.2003 № 131-ФЗ "О б общих принципах организации местного самоуправления в Российской Федерации"; 2)Федеральный закон от 12.02.1998 № 28-ФЗ "О гражданской обороне"; </t>
  </si>
  <si>
    <t>1) Ст.15; Часть 4; 2)Ст.8;Пункт 2;</t>
  </si>
  <si>
    <t>1)01.01.2006, не установлена; 2) 16.02.1998, не установлена;</t>
  </si>
  <si>
    <t xml:space="preserve">Постановление Правительства Пермского края от 01.04.2014 № 215-п "О реализации мероприятий подпрограммы 1 "Государственная социальная поддержка семей и детей" Государственной программы "Семья и дети Пермского края" утвержденной Постановлением Правительства Пермского края от 3 октября 2013 г. № 1322-П 
</t>
  </si>
  <si>
    <t>1)01.01.2014, не установлена;</t>
  </si>
  <si>
    <t xml:space="preserve"> 1) Федеральный закон от 06.10.2003 № 131-ФЗ "О б общих принципах организации местного самоуправления в Российской Федерации"; 2) Федеральный закон РФ от 21.12.1994 № 68-ФЗ "О защите населения и территорий от чрезвычайных ситуаций природного и техногенного характера"; 3) Федеральный закон от 12.02.1998 № 28-ФЗ "О гражданской обороне";</t>
  </si>
  <si>
    <t xml:space="preserve">1) Ст.14;   Часть 1; Пункт 8; 2) Глава 2; Ст.11; Пункт 2; 3)Глава 3,  ст.8; </t>
  </si>
  <si>
    <t xml:space="preserve"> 1) 01.01.2006, не установлена; 2) 04.01.1995, не установлена; 3)26.02.1998, не установлена;</t>
  </si>
  <si>
    <t>01         01           01     01</t>
  </si>
  <si>
    <t xml:space="preserve">02         04       11        13  </t>
  </si>
  <si>
    <t>01     01</t>
  </si>
  <si>
    <t xml:space="preserve">04      13  </t>
  </si>
  <si>
    <t>11</t>
  </si>
  <si>
    <t>05        03</t>
  </si>
  <si>
    <t>14</t>
  </si>
  <si>
    <t>03      10</t>
  </si>
  <si>
    <t>12      05</t>
  </si>
  <si>
    <t>01          04</t>
  </si>
  <si>
    <t>04                06</t>
  </si>
  <si>
    <t xml:space="preserve">Постановление Правительства Пермского края от 23.10.2015 № 890-п "О реализации региональных мероприятий Федеральной целевой программы развития образования на 2011-2015 годы по направлению "достижение во всех субъектах Российской Федерации стратегических ориентиров национальной образовательной инициативы "Наша новая школа" в 2015 году"
</t>
  </si>
  <si>
    <t>п.1</t>
  </si>
  <si>
    <t xml:space="preserve">Постановление Правительства Пермского края от 25.12.2015 N 1155-п "Об утверждении Порядка реализации мероприятий по стимулированию педагогических работников по результатам обучения школьников по итогам 2014-2015 учебного года"
</t>
  </si>
  <si>
    <t xml:space="preserve">Закон Пермского края от 08.12.2014 N 404-ПК "О награждении знаком отличия Пермского края обучающихся общеобразовательных организаций, профессиональных образовательных организаций Пермского края"
</t>
  </si>
  <si>
    <t>ст.4, п.3</t>
  </si>
  <si>
    <t>23.10.2015, не установлена</t>
  </si>
  <si>
    <t>26.12.2014, не установлена</t>
  </si>
  <si>
    <t>25.12.2015, не установлена</t>
  </si>
  <si>
    <t>296 20 66 Мосина Елена Николаевна</t>
  </si>
  <si>
    <t>296 26 89 Макатуха Оксана Владимировна</t>
  </si>
  <si>
    <t xml:space="preserve"> 1) Федеральный закон от 06.10.2003 № 131-ФЗ "О б общих принципах организации местного самоуправления в Российской Федерации"; 2) Постановление Правительства РФ от 17.12.2010 № 1050 "О федеральной целевой Программе "Жилище" на 2015-2020 годы" ; 3)Постановление Правительства РФ от 15.07.2013 №598 "О федеральной целевой программе "Устойчивое развитие сельских территорий на 2014 - 2017 годы и на период до 2020 года"</t>
  </si>
  <si>
    <t>1)01.01.2006, не установлена; 2) 31.01.2011, не установлена; 3) 01.01.2014-31.12.2017;</t>
  </si>
  <si>
    <t>1)Ст.15; Часть 4;2) в целом; 3) в целом;</t>
  </si>
  <si>
    <t>01         10            04</t>
  </si>
  <si>
    <t>04            03            12</t>
  </si>
  <si>
    <t>01               05               05          05</t>
  </si>
  <si>
    <t>04            02             03           05</t>
  </si>
  <si>
    <t xml:space="preserve">1)Федеральный закон от 06.10.2003 № 131-ФЗ "О б общих принципах организации местного самоуправления в Российской Федерации"; </t>
  </si>
  <si>
    <t xml:space="preserve">1) Ст.15; Часть 4; </t>
  </si>
  <si>
    <t>Рраспоряжение земельными участками, государственная собственность на которые не разграничена</t>
  </si>
  <si>
    <t>Федеральный закон от 25.10.2001 №137-ФЗ "О введении в действие Земельного кодекса Российской Федерации"</t>
  </si>
  <si>
    <t xml:space="preserve">  Ст.3.3п.2</t>
  </si>
  <si>
    <t xml:space="preserve">08.11.2001, не установлена; </t>
  </si>
  <si>
    <t>Отчетный 2015 год</t>
  </si>
  <si>
    <t>Текущий 2016 год</t>
  </si>
  <si>
    <t>Очередной 2017 год</t>
  </si>
  <si>
    <t>Плановый период</t>
  </si>
  <si>
    <t>По уточненному плану</t>
  </si>
  <si>
    <t>Первоначальный план</t>
  </si>
  <si>
    <t>План</t>
  </si>
  <si>
    <t>Пермского муниципального района</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</si>
  <si>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</si>
  <si>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</si>
  <si>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</si>
  <si>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</si>
  <si>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</si>
  <si>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</si>
  <si>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</si>
  <si>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</si>
  <si>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</si>
  <si>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04       08</t>
  </si>
  <si>
    <t>12        01</t>
  </si>
  <si>
    <t>01     04       05     05</t>
  </si>
  <si>
    <t>13         12      01       02</t>
  </si>
  <si>
    <t>04         04           05</t>
  </si>
  <si>
    <t>09           12             02</t>
  </si>
  <si>
    <t>План 2018 г</t>
  </si>
  <si>
    <t>Прогноз 2019 г</t>
  </si>
  <si>
    <r>
      <t xml:space="preserve">владение, пользование и распоряжение имуществом, находящимся в муниципальной собственности городского </t>
    </r>
    <r>
      <rPr>
        <sz val="9"/>
        <color indexed="8"/>
        <rFont val="Times New Roman"/>
        <family val="1"/>
      </rPr>
      <t>поселения</t>
    </r>
  </si>
  <si>
    <r>
      <t>организация в границах городского</t>
    </r>
    <r>
      <rPr>
        <sz val="9"/>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</si>
  <si>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t>
    </r>
    <r>
      <rPr>
        <sz val="9"/>
        <color indexed="8"/>
        <rFont val="Times New Roman"/>
        <family val="1"/>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</si>
  <si>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t>
    </r>
    <r>
      <rPr>
        <sz val="9"/>
        <color indexed="8"/>
        <rFont val="Times New Roman"/>
        <family val="1"/>
      </rPr>
      <t>поселения</t>
    </r>
  </si>
  <si>
    <r>
      <t xml:space="preserve">участие в предупреждении и ликвидации последствий чрезвычайных ситуаций в границах городского </t>
    </r>
    <r>
      <rPr>
        <sz val="9"/>
        <color indexed="8"/>
        <rFont val="Times New Roman"/>
        <family val="1"/>
      </rPr>
      <t>поселения</t>
    </r>
  </si>
  <si>
    <r>
      <t xml:space="preserve">обеспечение первичных мер пожарной безопасности в границах населенных пунктов городского </t>
    </r>
    <r>
      <rPr>
        <sz val="9"/>
        <color indexed="8"/>
        <rFont val="Times New Roman"/>
        <family val="1"/>
      </rPr>
      <t>поселения</t>
    </r>
  </si>
  <si>
    <r>
      <t xml:space="preserve">создание условий для обеспечения жителей городского </t>
    </r>
    <r>
      <rPr>
        <sz val="9"/>
        <color indexed="8"/>
        <rFont val="Times New Roman"/>
        <family val="1"/>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</si>
  <si>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городского </t>
    </r>
    <r>
      <rPr>
        <sz val="9"/>
        <color indexed="8"/>
        <rFont val="Times New Roman"/>
        <family val="1"/>
      </rPr>
      <t>поселения</t>
    </r>
  </si>
  <si>
    <r>
      <t xml:space="preserve">создание условий для организации досуга и обеспечения жителей городского </t>
    </r>
    <r>
      <rPr>
        <sz val="9"/>
        <color indexed="8"/>
        <rFont val="Times New Roman"/>
        <family val="1"/>
      </rPr>
      <t>поселения услугами организаций культуры</t>
    </r>
  </si>
  <si>
    <r>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t>
    </r>
    <r>
      <rPr>
        <sz val="9"/>
        <color indexed="8"/>
        <rFont val="Times New Roman"/>
        <family val="1"/>
      </rPr>
      <t xml:space="preserve"> поселении</t>
    </r>
  </si>
  <si>
    <r>
      <t>обеспечение условий для развития на территории городского</t>
    </r>
    <r>
      <rPr>
        <sz val="9"/>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9"/>
        <rFont val="Times New Roman"/>
        <family val="1"/>
      </rPr>
      <t xml:space="preserve">городского </t>
    </r>
    <r>
      <rPr>
        <sz val="9"/>
        <color indexed="8"/>
        <rFont val="Times New Roman"/>
        <family val="1"/>
      </rPr>
      <t>поселения</t>
    </r>
  </si>
  <si>
    <r>
      <t>создание условий для массового отдыха жителей городского</t>
    </r>
    <r>
      <rPr>
        <sz val="9"/>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</si>
  <si>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городского </t>
    </r>
    <r>
      <rPr>
        <sz val="9"/>
        <color indexed="8"/>
        <rFont val="Times New Roman"/>
        <family val="1"/>
      </rPr>
      <t>поселения</t>
    </r>
  </si>
  <si>
    <r>
      <t xml:space="preserve">организация и осуществление мероприятий по территориальной обороне и гражданской обороне, защите населения и территории городского </t>
    </r>
    <r>
      <rPr>
        <sz val="9"/>
        <color indexed="8"/>
        <rFont val="Times New Roman"/>
        <family val="1"/>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</si>
  <si>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городского </t>
    </r>
    <r>
      <rPr>
        <sz val="9"/>
        <color indexed="8"/>
        <rFont val="Times New Roman"/>
        <family val="1"/>
      </rPr>
      <t>поселения</t>
    </r>
  </si>
  <si>
    <r>
      <t xml:space="preserve">организация и осуществление мероприятий по работе с детьми и молодежью в городском </t>
    </r>
    <r>
      <rPr>
        <sz val="9"/>
        <color indexed="8"/>
        <rFont val="Times New Roman"/>
        <family val="1"/>
      </rPr>
      <t>поселении</t>
    </r>
  </si>
  <si>
    <r>
      <t xml:space="preserve">предоставление помещения для работы на обслуживаемом административном участке городского </t>
    </r>
    <r>
      <rPr>
        <sz val="9"/>
        <color indexed="8"/>
        <rFont val="Times New Roman"/>
        <family val="1"/>
      </rPr>
      <t>поселения сотруднику, замещающему должность участкового уполномоченного полиции</t>
    </r>
  </si>
  <si>
    <r>
      <t xml:space="preserve">осуществление мер по противодействию коррупции в границах городского </t>
    </r>
    <r>
      <rPr>
        <sz val="9"/>
        <color indexed="8"/>
        <rFont val="Times New Roman"/>
        <family val="1"/>
      </rPr>
      <t>поселения</t>
    </r>
  </si>
  <si>
    <t xml:space="preserve">01     01      01     01     01       13   10   </t>
  </si>
  <si>
    <t>02      03     04        06     13     01     01</t>
  </si>
  <si>
    <t>0113</t>
  </si>
  <si>
    <t>1502 - 1.4.1.1. на государственную регистрацию актов гражданского состояния</t>
  </si>
  <si>
    <t>1503 - 1.4.1.2. по составлению списков кандидатов в присяжные заседатели</t>
  </si>
  <si>
    <t>1505 - 1.4.1.3. на формирование и содержание архивных фондов субъекта Российской Федерации</t>
  </si>
  <si>
    <t>1510 - 1.4.1.9.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</si>
  <si>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1521 - 1.4.1.20.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</si>
  <si>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1539 - 1.4.1.38.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</si>
  <si>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1540 - 1.4.1.39.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</si>
  <si>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1543 - 1.4.1.41. на организацию и обеспечение отдыха и оздоровления детей (за исключением организации отдыха детей в каникулярное время)</t>
  </si>
  <si>
    <t>1568 - 1.4.1.67.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</si>
  <si>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1591 - 1.4.1.90. на проведение Всероссийской сельскохозяйственной переписи в 2016 году  (федеральный бюджет)</t>
  </si>
  <si>
    <t>1592 - 1.4.1.91. на распоряжение земельными участками, государственная собственность на которые не разграничена</t>
  </si>
  <si>
    <t>1593 - 1.4.1.92. на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t>
  </si>
  <si>
    <t>1594 - 1.4.1.93. на обеспечение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 ,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(федеральный бюджет)</t>
  </si>
  <si>
    <t>1595 - 1.4.1.94. на 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</si>
  <si>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1597 - 1.4.1.96. на предоставление дополнительных мер социальной поддержки и социальной помощи для отдельных категорий граждан</t>
  </si>
  <si>
    <t>1804 - 1.5.4.1.3.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</si>
  <si>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1809 - 1.5.4.1.8. организация и осуществление мероприятий межпоселенческого характера по работе с детьми и молодежью</t>
  </si>
  <si>
    <t>1903 - 1.5.4.2.3. иные межбюджетные трансферты на обеспечение мероприятий по переселению граждан из аварийного жилищного фонда  (краевые средства)</t>
  </si>
  <si>
    <t>1908 - 1.5.4.2.8. иные межбюджетные трансферты на решение вопросов местного значения, осуществляемых с участием средств самообложения граждан  (краевые средства)</t>
  </si>
  <si>
    <t>1909 - 1.5.4.2.9. иные межбюджетные трансферты на предоставление субсидии на софинансирование мероприятий по реализации социально значимых проектов территориального общественного самоуправления  (краевые средства)</t>
  </si>
  <si>
    <t>1910 - 1.5.4.2.10. иные межбюджетные трансферты на реализацию мероприятий федеральной целевой программы "Устойчивое развитие сельских территорий на 2014-2017 годы и на период до 2020 года"  (краевые средства)</t>
  </si>
  <si>
    <t>1911 - 1.5.4.2.11. иные межбюджетные трансферты на реализацию мероприятий федеральной целевой программы "Культура России (2012-2018 годы)" государственной программы РФ "Развитие культуры и туризма"  (краевые средства)</t>
  </si>
  <si>
    <t>1924 - 1.5.4.2.24. иные межбюджетные трансферты  на оказание целевой финансовой помощи органам местного самоуправления поселений (организация библиотечного обслуживания населения, комплектование и обеспечение сохранности библиотечных фондов библиотек поселения; создание условий для организации досуга и обеспечения жителей поселения услугами организаций культуры)</t>
  </si>
  <si>
    <t>Реестр расходных обязательств Пермского муниципального района</t>
  </si>
  <si>
    <t xml:space="preserve">1)Закон Пермского края от 04.05.2008 №228-ПК "О муниципальной службе в Пермском крае" ;                         2)Закон Пермского края от 01.07.2011 №787-ПК "О классных чинах муниципальных служащих в Пермском крае";         3)Постановление Правительства Пермского края от 08.06.2010 № 301-п  "Об утверждении нормативов формирования расходов на содержание органов местного самоуправления муниципальных образований Пермского края на 2015 год и на плановый период 2016 и 2017 годов"; 4)Постановление Правительства Пермского края от 26.04.2013 № 346-п "О конкурсе муниципальных районов2 и городских округов Пермского края по достижению наиболее результативных значений показателей управленческой деятельности"                         </t>
  </si>
  <si>
    <t xml:space="preserve">1)ст.12;      2)ст.9; 3)п.1.3; 4)п.2                                                                                    </t>
  </si>
  <si>
    <t xml:space="preserve">1)24.05.2008, не установлена;          2)22.07.2011, не установлена; 3)15.06.2010, не установлена;  4)26.04.2013, не установлена                                                </t>
  </si>
  <si>
    <t>1)01.01.2006, не установлена,  2)01.09.2013, не установлена; 3)01.06.2007, не установлена; 4) 14.02.2013, не установлена</t>
  </si>
  <si>
    <t xml:space="preserve">1) п.1, п.11 ч.1 ст. 15,                2)ст.9, п.1,2,3,5 ст.99 п.2;        3)ст.22 гл.6; 4)в целом             </t>
  </si>
  <si>
    <t>1) Федеральный закон от 06.10.2003 № 131-ФЗ "О б общих принципах организации местного самоуправления в Российской Федерации"; 2)Закон РФ от 29.12.2012 № 273-ФЗ "Об образовании в РФ"; 3)Федеральный Закон от 02.03.2007  №25-ФЗ "О муниципальной службе в Российской Федерации"; 4)Постановление Правительства РФ от 25.01.2013 №30 "О порядке распределения и предоставления из федерального бюджета бюджетам субъектов Российской Федерации иных межбюджетных трансфертов для последующего предоставления иных межбюджетных трансфертов из бюджета субъекта Российской Федерации местным бюджетам на выплату денежного поощрения лучшим муниципальным учреждениям культуры, находящимся на территориях сельских поселений, и их работникам"</t>
  </si>
  <si>
    <t xml:space="preserve">1)Закон Пермского края от 12.03.2014 № 308-ПК "Об образовании в Пермском крае" 2)'Закон Пермского края от 01.04.2015 № 461-пк "Об обеспечении работников государственных и муниципальных учреждений Пермского края путевками на санаторно-курортное лечение и оздоровление";    3)1)Закон Пермского края от 04.05.2008 №228-ПК "О муниципальной службе в Пермском крае"; 4)Постановление Правительства Пермского края от 14.04.2015 N 223-п
"О предоставлении иных межбюджетных трансфертов из бюджета Пермского края бюджетам муниципальных районов Пермского края на выплату денежного поощрения лучшим муниципальным учреждениям культуры, находящимся на территории сельских поселений, и их работникам за счет средств федерального бюджета"
</t>
  </si>
  <si>
    <t>1)27.03.2014, не установлена; 2)17.04.2015-  31.12.2017; 3)24.05.2008, не установлена; 4)28.04.2015-04.04.2016</t>
  </si>
  <si>
    <t>1)ст. 12;    2)ст.3;     3)ст.12; 4)в целом</t>
  </si>
  <si>
    <t>1) Решение Земского Собрания от 13.11.2014 № 19 "Об утверждении Положения о системе оплаты труда образовательных организаций дополнительного образования Пермского муниципального района"; 2)Постановление администрации Пермского муниципального района от 20.02.2014 № 525 "Об утверждении схемы должностных окладов работников учреждений образования Пермского муниципального района"; 3)Постановление администрации Пермского муниципального района от 24.01.2013 № 199 "Об утверждении схемы должностных окладов работников образовательных учреждений дополнительного образования детей детских школ искусств Пермского муниципального района" (ред. от 24.06.14); 4)Постановление главы Пермского муниципального района от 17.03.2014 № 842 "Об утверждении типовых штатных нормативов административно руководящего, учебно-вспомогательного и обслуживающего персонала МОУ ДОД ДШИ Пермского муниципального района"</t>
  </si>
  <si>
    <t>1)01.02.2015, не установлена; 2)01.02.2014, не установлена; 3)01.01.2013,не установлена; 4)16.03.2014, не установлена</t>
  </si>
  <si>
    <t>1) п.1; 2)п.1 п.п.1.4; 3)п.1; 4)п.1</t>
  </si>
  <si>
    <t>5)п.1; 6)п.1</t>
  </si>
  <si>
    <t>5)01.01.2016, не установлена; 6)28.04.2015-31.12.2017; 7)14.08.2015, не установлена</t>
  </si>
  <si>
    <t>1)п.1</t>
  </si>
  <si>
    <t>08 01     08 04</t>
  </si>
  <si>
    <t>1)Постановление администрации Пермского муниципального района от 08.12.2015 № 1688  "Об установлении расходного обязательства по организации и проведению культурно-массовых мероприятий в области культурно-досуговой деятельности и библиотечного дела"; 2)Постановление администрации Пермского муниципального района от 22.10.2015 № 1354 «Об утверждении Порядка проведения мониторинга исполнения муниципального задания на оказание муниципальных услуг (выполнение работ) и в несения изменений в муниципальное задание на оказание муниципальных услуг (выполнение работ) и объем его финансового обеспечения, Порядка предоставления субсидий муниципальным бюджетным и автономным учреждениям на иные цели»; 3)Решение Земского Собрания от 27.05.2008 № 668 "Об утверждении Положения о порядке материально-технического и организационного обеспечения деятельности органов местного самоуправления Пермского муниципального района" (ред. от 26.08.10)</t>
  </si>
  <si>
    <t>1)01.01.2016, не установлена; 2)22.10.2015, не установлена; 3)05.06.2008,не установлена</t>
  </si>
  <si>
    <t>1)п.1; 2)п.1.2.; 3)п.5</t>
  </si>
  <si>
    <t>4)01.01.2012,не установлена; 5)01.01.2014,не установлена</t>
  </si>
  <si>
    <t>4)п. 4; 5)п.7</t>
  </si>
  <si>
    <t>1)Постановление администрации Пермского муниципального района от 12.08.2013 № 2307 "Об утверждении Положения по предоставлению субсидий социально ориентированным некоммерческим организациям, не являющимся муниципальными учреждениями Пермского муниципального района"</t>
  </si>
  <si>
    <t>1)12.08.2013,не установлена</t>
  </si>
  <si>
    <t>11 01</t>
  </si>
  <si>
    <t>1)Решение Земского Собрания от 26.06.2008 № 678 "Об утверждении Положения о физической культуре и спорте на территории Пермского муниципального района" (ред. от 25.04.13); 2)Постановление администрации от 03.12.2014 № 5062 "Об утверждении Положения о порядке оказания финансовой поддержки спортивным командам игровых видов спорта и спортсменам Пермского муниципального района"; 3)Распоряжение администрации Пермского муниципального района от 14.04.2010 № 100-р "Об утверждении норм расходования средств районного бюджета на материальное обеспечение участников спортивных мероприятий"; 4)Постановление администрации Пермского муниципального района от 22.09.2015 № 1307 "Об утверждении Положения о формировании муниципального задания на оказание услуг (выполнение работ) и его финансового обеспечения Пермского муниципального района"</t>
  </si>
  <si>
    <t>1)03.07.2008,не установлена; 2)03.12.2014, не установлена; 3)14.04.2010,не установлена; 4)01.01.2016, не установлена</t>
  </si>
  <si>
    <t>1)п. 5 Положения; 2)п.1; 3)п.1; 4)п.1</t>
  </si>
  <si>
    <t>1)01.01.2010,не установлена; 2)01.01.2016, не установлена; 3)01.01.2014, не установлена; 4)01.07.2013,не установлена; 5)01.01.2016, не установлена</t>
  </si>
  <si>
    <t>1)п. 1; 2)п.1; 3)п.2; 4)п.1; 5)п.1</t>
  </si>
  <si>
    <t>1)Федеральный закон от 06.10.2003 № 131-ФЗ "Об общих принципах организации местного самоуправления  в Российской Федерации"; 2)Федеральный закон от 24.11.1995 № 181-ФЗ "О социальной защите инвалидов в Российской Федерации"</t>
  </si>
  <si>
    <t>1)01.01.2006, не установлена; 2)02.12.1995, не установлена</t>
  </si>
  <si>
    <t>1) п.1, ч.1 ст. 15.1; 2)ст.33</t>
  </si>
  <si>
    <t>1) Решение Земского собрания Пермского муниципального района от 23.09.2010 № 105 "О передаче полномочий по организации библиотечного обслуживания населения и комплектованию библиотечных фондов библиотек сельских поселений Пермского муниципального района"</t>
  </si>
  <si>
    <t>1) 01.01.2010, не установлена</t>
  </si>
  <si>
    <t>1)Решение Земского собрания Пермского муниципального района от 26.11.2015 № 114 "Об утверждении Порядка предоставления бюджетам сельских поселений Пермского муниципального района иных межбюджетных трансфертов на развитие учреждений культуры, за исключением субсидий на софинансирование объектов капитального строительства, связанных с созданием модельных библиотек (для целей модернизации сельской библиотечной сети) на территории Пермского края, за счет средств федерального бюджета в 2015 году"</t>
  </si>
  <si>
    <t>1)26.11.2015, не установлена</t>
  </si>
  <si>
    <t>01.01.2011,
не установлен
2)05.06.2008
 не 
установлен
3)01.01.2014
 не 
установлен
4)29.01.2009
 не
 установлен
5)23.08.2007
 не 
установлен
6)01.01.2014 не установлен
7)01.01.2014 не установлен
8)01.01.2014 не установлен; 9)12.08.2013, не установлена</t>
  </si>
  <si>
    <t>1)п.1.
2)п.5.1.
3)п.1.
4)п.10.6.
5)п.3.17.
6)п1.1.
7)п1.1.
8)п.1.; 9) в целом</t>
  </si>
  <si>
    <t>1)05.07.2013
 не установлен</t>
  </si>
  <si>
    <t xml:space="preserve">1)Решение Земского собрания от 17.12.2015 № 119"Об утверждении порядка предоставления из бюджета Пермского муниципального района бюджетам сельских поселений Пермского муниципального района иных межбюджетных трансфертов на грантовую поддержку местных инициатив граждан, проживающих в сельской местности" </t>
  </si>
  <si>
    <t>1)п.4</t>
  </si>
  <si>
    <t>1)01.10.2015, 
не установлена</t>
  </si>
  <si>
    <t>2) Положение</t>
  </si>
  <si>
    <t xml:space="preserve"> 2) 01.02.2008, не установлен</t>
  </si>
  <si>
    <t>1)п.1; 2)п.1.2.; 3)Раздел 15 Положения; 4) п.2; 5)п.1; 6)п1, 2</t>
  </si>
  <si>
    <t>1)01.01.2016, не установлена; 2)06.10.2015, не установлена; 3)08.10.2015, не установлена; 4) 01.01.2014, не установлена; 5) 04.12.2014, не установлена; 6)01.12.2014-31.12.2017</t>
  </si>
  <si>
    <t>7) 16.08.2012, не установлена,  8)27.02.2014-31.12.2016</t>
  </si>
  <si>
    <t xml:space="preserve"> 7) п.1 и п.2, 8)п.4 Правил</t>
  </si>
  <si>
    <t xml:space="preserve">1) Постановление администрации Пермского муниципального района от 27.01.2015 №71     "Об утверждении Положения о порядке использования бюджетных ассигнований резервного фонда администрации Пермского муниципального района"; 2) Постановление администрации Пермского муниципального района от 15.01.2015 №6    "Об утверждении Порядка  расходования бюджетных средств для оплаты затрат на приобретение домокомплектов жилых домов и на ремонт сетей электроснабжения д.Броды Пермского муниципального района"                                                </t>
  </si>
  <si>
    <t>1) 27.01.2015, не установлена; 2) 14.11.2014, не установлена</t>
  </si>
  <si>
    <t>1)п.1; 2)п.1</t>
  </si>
  <si>
    <t xml:space="preserve"> 2) Постановление администрации ПМР  от 08.04.2014 "О проведении Акции Дней защиты от экологической опасности в Пермском районе"
</t>
  </si>
  <si>
    <t>2) п. 3</t>
  </si>
  <si>
    <t>2) 08.04.2014, не установлен</t>
  </si>
  <si>
    <t>1) ст.7 Положения (приложение1), 2)п.1; 3) п. 4 Правил</t>
  </si>
  <si>
    <t>1) 30.09.2010, не установлена, 2)01.01.2016 , не установлена; 3)11.11.2010 г., не установлена</t>
  </si>
  <si>
    <t xml:space="preserve">1)п.п.2 п.2; </t>
  </si>
  <si>
    <t>1) 30.04.2008, не установлен</t>
  </si>
  <si>
    <t>1) Решение Земского Собрания Пермского муниципального района от 24.04.2008 N 644 "О Порядке заключения органами местного самоуправления муниципального района соглашений о передаче осуществления части своих полномочий органам местного самоуправления сельских поселений и о принятии от них осуществления части их полномочий"; 2) Соглашения о передаче полномочий</t>
  </si>
  <si>
    <t>1) Решение Земского Собрания Пермского муниципального района от 24.04.2008 N 644 "О Порядке заключения органами местного самоуправления муниципального района соглашений о передаче осуществления части своих полномочий органам местного самоуправления сельских поселений и о принятии от них осуществления части их полномочий"; 2) Соглашения о передаче полномочий; 3)Постановление администрации ПМР от 17.04.2013 № 1027 "Об утверждении административного регламента "Признание помещения жилым помещением, жилого помещения непригодным для проживания и многоквартирного дома аварийным и подлежащим сносу или реконструкции"</t>
  </si>
  <si>
    <t>1)п.п.2 п.2; 3)п.1</t>
  </si>
  <si>
    <t>1) 30.04.2008, не установлена; 3)17.04.2013</t>
  </si>
  <si>
    <t>1)30.05.2011, не установлена; 2)1.01.2012 г., не установлена; 3) 01.12.2014, не установлена</t>
  </si>
  <si>
    <t>1)п.1; 2)Положение; 3)п.2, п.3</t>
  </si>
  <si>
    <t>1) Решение Земского Собрания Пермского муниципального района от 29.04.2014 N 442 "Об утверждении Порядка организации транспортного обслуживания населения между поселениями и создания условий для предоставления транспортных услуг населению в границах Пермского муниципального района"</t>
  </si>
  <si>
    <t>1) Порядо</t>
  </si>
  <si>
    <t>1) с 08.05.2014 , неустановлена</t>
  </si>
  <si>
    <t>1) Положение,2) Порядок</t>
  </si>
  <si>
    <t>1)31.01.2008 г., не установлен, 2) 03.03.2011 г., не установлен</t>
  </si>
  <si>
    <t xml:space="preserve"> 1)Решение Земского Собрания Пермского муниципального района от 27.10.2011 г. №208 "Об утверждении Положения о денежном содержании муниципальных служащих органов местного самоуправления Пермского муниципального района";  2)Решение Земского Собрания Пермского муниципального района" от 30.10.2013г. №393 "Об утверждении Положения об оплате труда руководителей, специалистов, служащих, замещающих должности, не отнесённые к должностям муниципальной службы, и работников рабочих профессий органов местного самоуправления"; 3)Решение Земского Собрания Пермского муниципального района от 27.05.2008 N 668 "Об утверждении Положения о порядке материально-технического и организационного обеспечения деятельности органов местного самоуправления Пермского муниципального района";
 </t>
  </si>
  <si>
    <t xml:space="preserve">4)Решение ЗС от 29.01.2009 №752 "Об утверждении порядка и условий командирования муниципальных служащих ОМС Пермского муниципального района"; 6)Решение ЗС от 28.10.2010г. №108 "О размере финансового обеспечения ежегодной диспансеризации одного муниципального служащего Пермского муниципального района"; </t>
  </si>
  <si>
    <t xml:space="preserve">  7) Постановление от 12.12.2014 №5216 "Об установлении нормативов по обеспечению лиц, замещающих должности муниципальной службы, услугами связи" 9) Постановление администрации Пермского муниципального района от 15.03.2013 г. № 695 "О конкурсе по достижению наиболее результативных значений управленческой деятельности органов местного самоуправления сельских поселений Пермского муниципальног района"8) Решение Земского Собрания Пермского муниципального района от 29.04.2010 №60 (ред.от 26.02.2015г.) Об утверждении порядков установления и выплаты пенсии за выслугу лет лицам, замещавшим муниципальной службы в Пермском муниципальном районе"</t>
  </si>
  <si>
    <t xml:space="preserve">1)п.1; 2)п.1; 3)ч.5;   4)абз.2; п.10.6  5)п.1; 6)п.3 8) п.7 </t>
  </si>
  <si>
    <t xml:space="preserve">1)01.01.2011, не установлена;  2)28.08.2014, не установлена; 3)05.06.2008, не установлена  4)06.02.2009, не установлена; 5)01.01.2011, не установлена;  6)24.07.2014, не установлена; 7)29.04.15, не установлен8) 13.05.2010, не установлен  </t>
  </si>
  <si>
    <t>1)Федеральный закон от 06.10.2003 № 131-ФЗ (ред. От 29.12.2014г.) "Об общих принципах организации местного самоуправления в Российской Федерации" 2) Постановление Правительства РФ от20.08.2013 № 718 "О федеральной целевой программе «Укрепление единства российской нации и этнокультурное развитие народов России (2014- 2020 годы)»</t>
  </si>
  <si>
    <t>1)ст.15 п.6.2  2)раздел 4</t>
  </si>
  <si>
    <t>1)01.01.2006,                не установлен 2)20.08.13, 31.12.2020</t>
  </si>
  <si>
    <t>Постановление администрации ПМР от 07.12.2015 №1683 "Об утверждении Положения о создании условий для реализации мероприятий, направленных на гармонизацию межнациональных и межконфессиональных отношений на территории Пермского муниципального района"</t>
  </si>
  <si>
    <t>п 8.1</t>
  </si>
  <si>
    <t>07.12.2015, не установлена</t>
  </si>
  <si>
    <t>1) п.1 2)п.1 3)п.1</t>
  </si>
  <si>
    <t>1)27.05.2011, не установлен 2)01.01.2013, не установлен 3)01.01.2014, не установлен, 4)30.10.2013 не установлен</t>
  </si>
  <si>
    <t xml:space="preserve">1)п.1   2)п.1   3)п.1   4)п.1   </t>
  </si>
  <si>
    <t>не установлена</t>
  </si>
  <si>
    <t xml:space="preserve">1)Распоряжение администрации Пермского муниципального района от 16.02.2015 № 22-р "О проведении конкурса социальных и культурных проектов Пермского муниципального района "Твое время"; 2)Распоряжение администрации Пермского муниципального района от 05.06.2015 № 95-р "О реализации социальных и культурных проектов Пермского муниципального района "Твое время"; 3)Распоряжение администрации Пермского муниципального района от 22.03.2016 № 43-р "О проведении конкурса социальных и культурных проектов Пермского муниципального района "Твое время"; 4)Постановление администрации Пермского муницпального района от 14.05.2015 № 1031 "Об обеспечении отдыха и оздоровления детей в 2015 году"; </t>
  </si>
  <si>
    <t>1)16.02.2015-22.03.2016; 2)05.06.2015, не установлена; 3)22.03.2016, не установлена; 4)14.05.2015, не установлена; 5)14.05.2015, не установлена; 6)16.12.2010, не установлена</t>
  </si>
  <si>
    <t>1)п.1.1.; 2)в целом; 3)п.1.1.; 4)14.05.2015, не установлена; 5) п.1.4.; 6)п.1</t>
  </si>
  <si>
    <t>4)01.01.2014, не устанновлен а</t>
  </si>
  <si>
    <t>4)п.1</t>
  </si>
  <si>
    <t>29.09.2006, не установлен</t>
  </si>
  <si>
    <t xml:space="preserve">Решение Земского Собрания Пермского муниципального района от 27.10.2011 г. №208 (ред.от 30.10.2013г.) "Об утверждении Положения о денежном содержании муниципальных служащих органов местного самоуправления Пермского муниципального района"                                                   
</t>
  </si>
  <si>
    <t>01.01.2014, не установлен</t>
  </si>
  <si>
    <t>Решение Земского Собрания от 27.10.2011 г. №208 (ред.от 30.10.2013г.) "Об утверждении Положении  о денежном содержании муниципальных служащих органов местного самоуправления Пермского муниципального района"</t>
  </si>
  <si>
    <t>п.5.1.</t>
  </si>
  <si>
    <t>01.01.2012, не установлен</t>
  </si>
  <si>
    <t xml:space="preserve">1)27.05.2011, не установлен 2)01.01.2013, не установлен 3)01.01.2014, не установлен 5)30.10.2013   неустановлен </t>
  </si>
  <si>
    <t>8)Решение Земского Собрания Пермского муниципального района от 27.10.2011 г. №208 "Об утверждении Положения о денежном содержании муниципальных служащих органов местного самоуправления Пермского муниципального района";  9)Решение Земского Собрания Пермского муниципального района" от 30.10.2013г. №393 "Об утверждении Положения об оплате труда руководителей, специалистов, служащих, замещающих должности, не отнесённые к должностям муниципальной службы, и работников рабочих профессий органов местного самоуправления"; 10)Решение Земского Собрания Пермского муниципального района от 27.05.2008 N 668 "Об утверждении Положения о порядке материально-технического и организационного обеспечения деятельности органов местного самоуправления Пермского муниципального района";</t>
  </si>
  <si>
    <t>8)п.1; 9)п.1; 10)ч.5;</t>
  </si>
  <si>
    <t xml:space="preserve">8)01.01.2011, не установлена;  9)28.08.2014, не установлена; 10)05.06.2008, не установлена  </t>
  </si>
  <si>
    <t xml:space="preserve">11)п.1; 12)п.1; 13)п.1; 14)п.1; </t>
  </si>
  <si>
    <t>11)01.06.2013, не установлена; 12)01.01.2015, не установлена; 13)02.02.2015, не установлена; 14)01.01.2016, не установлена;</t>
  </si>
  <si>
    <t>15)п.1.; 16)п.1; 17)п.1</t>
  </si>
  <si>
    <t>15)02.02.2015, не установлена; 16)27.02.2015, не установлена; 17)14.05.2015, не установлена</t>
  </si>
  <si>
    <t xml:space="preserve">Решение Земского Собрания Пермского муниципального района от 28.04.2015 №67 "О передаче осуществления части полномочий по организации отдыха детей в каникулярное время органам местного самоуправления сельских поселений Пермского муниципального района"                 </t>
  </si>
  <si>
    <t>26.04.2015-31.12.2016</t>
  </si>
  <si>
    <t>Решение ЗС Пермского муниципального района от 24.09.2009 года № 825 "Об утверждении Положения о резерве выравнивания экономического положения поселений"</t>
  </si>
  <si>
    <t>п. 1.3</t>
  </si>
  <si>
    <t>27.10.2009, не установлена</t>
  </si>
  <si>
    <t>Решение Земского Собрания Пермского муниципального района от 29.02.2012 №236 "Об утверждении Порядка предоставления бюджетам сельских поселений из бюджета Пермского муниципального района иных межбюджетных трансфертов на решение вопросов местного значения, осуществляемых с участием средств самообложения граждан"</t>
  </si>
  <si>
    <t>29.02.2012, не установлена</t>
  </si>
  <si>
    <t>1) Постановление №842 от 13.03.2015 года "О предоставлении субсидии территориальным общественным самоуправлениям"; 2) Постановление администрации ПМР от 12.08.2013 года №2307 (в ред. от 27.03.2014 г) "Об утверждении положения по предоставлению субсидий социально ориентированным некоммерческим организациям, не являющимся муниципальными учреждениями Пермского муниципального района"
3)Решение ЗС от 28.04.2015 №64 "Об утверждении Порядка предоставления бюджетам сельских поселений Пермского муниципального района из бюджета Пермского муниципального района иных межбюджетных трансфертов на обеспечение мероприятий по реализации социально значимых проектов территориального общественного самоуправления"</t>
  </si>
  <si>
    <t xml:space="preserve">1) Федеральный закон от 06.10.2003 № 131-ФЗ "Об общих принципах организации местного самоуправления в Российской Федерации"  2)Федеральный Закон от 02.03.2007  №25-ФЗ "О муниципальной службе в Российской Федерации";     </t>
  </si>
  <si>
    <t xml:space="preserve">1)п.1ч.1ст.15;                2)ст.22 гл.6;    </t>
  </si>
  <si>
    <t xml:space="preserve">1)01.01.2006,не установлена;           2)01.06.2007, не установлена; </t>
  </si>
  <si>
    <t>1) Постановление администрации Пермского муниципального района от 27.01.2015 №71     "Об утверждении Положения о порядке использования бюджетных ассигнований резервного фонда администрации Пермского муниципального района";</t>
  </si>
  <si>
    <t xml:space="preserve">1)п.1; </t>
  </si>
  <si>
    <t xml:space="preserve">1) 27.01.2015, не установлена; </t>
  </si>
  <si>
    <t xml:space="preserve">03       </t>
  </si>
  <si>
    <t xml:space="preserve">09      </t>
  </si>
  <si>
    <t>Фрагмент реестра расходных обязательств ФЭУ Пермского муниципального района</t>
  </si>
  <si>
    <t>Заместитель главы администрации пермского муниципального района</t>
  </si>
  <si>
    <t>по экономическому развитию, начальник ФЭУ</t>
  </si>
  <si>
    <t>Т.Н. Гладких</t>
  </si>
  <si>
    <t>01        01</t>
  </si>
  <si>
    <t>06        13</t>
  </si>
  <si>
    <t>15)'Постановление администрации ПМР от 02.02.2015 № 248 "Об установлении расходного обязательства по организации питания отдельных категорий учащихся"; 16)Постановление администрации ПМР от 27.02.2015 № 658 "Об установлении расходного обязательства по обеспечению льгот по родительской плате"; 17)Постановление администрации ПМР от 14.05.2015 № 1029 "Об установлении расходного обязательства по софинансированию проекта "Мобильный учитель"; 18)Постановление Администрации Пермского муниципального района от 05.02.2014 N 323 "Об утверждении Правил осуществления капитальных вложений в объекты муниципальной собственности за счет средств бюджета Пермского муниципального района" ; 19)Постановление Администрации Пермского муниципального района от 22.06.2015 N 1129
"Об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Пермского муниципального района"</t>
  </si>
  <si>
    <t>5)Постановление Администрации Пермского муниципального района от 05.02.2014 N 323 "Об утверждении Правил осуществления капитальных вложений в объекты муниципальной собственности за счет средств бюджета Пермского муниципального района" ; 6)Постановление Администрации Пермского муниципального района от 22.06.2015 N 1129
"Об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Пермского муниципального района"</t>
  </si>
  <si>
    <t>1) Решение Земского Собрания ПМР  от 28.08.2008 №696 "Об утверждении положения о порядке управления и распоряжения муниципальной собственностью Пермского муниципального района"</t>
  </si>
  <si>
    <t xml:space="preserve">
7) Постановление администрации ПМР от 16.08.2012г. №2479 «Об утверждении плана по реконструкции, капитальному ремонту и объемов расходов по проектированию автомобильных дорог общего пользования Пермского муниципального района», 8)Постановление Администрации Пермского муниципального района от 05.02.2014 N 323 "Об утверждении Правил осуществления капитальных вложений в объекты муниципальной собственности за счет средств бюджета Пермского муниципального района"; 9)Решение Земского Собрания Пермского муниципального  района Пермского края от 24.09.2015№96 "Об утверждении Положения о муниципальном контроле за обеспечением сохранности автомобильных дорог местного значения на территории Пермского муниципального района";  </t>
  </si>
  <si>
    <t xml:space="preserve">20) Постановление администрации Пермского муниципального района от 17.04.2015№961 "Об утверждении инвестиционного проекта "Приобретение здания для размещения детского сада в с.Гамово Пермского муниципального района";                                              21) Постановление администрации Пермского муниципального района от 05.02.2014№323"Об утверждении Правил осуществления капитальных вложений в объекты муниципальной собственности за счет средств бюджета Пермского муниципального района";                 22)  Постановление администрации Пермского муниципального района от 18.12.2015№1700 "Об утверждении инвестиционного проекта "Приобретение здания для размещения детского сада в с.Култаево Пермского муниципального района";  </t>
  </si>
  <si>
    <t xml:space="preserve">1)Постановление Администрации Пермского муниципального района от 05.02.2014 N 323 "Об утверждении Правил осуществления капитальных вложений в объекты муниципальной собственности за счет средств бюджета Пермского муниципального района" ; 2)Постановление Администрации Пермского муниципального района от 22.06.2015 N 1129"Об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Пермского муниципального района"; 3)  Постановление администрации Пермского муниципального района от 21.02.2014 № 550"Об утверждении инвестиционного проекта "Приобретение помещения для размещения сельской врачебной амбулатории в с.Усть-Качка Усть-Качкинского сельского поселения;  </t>
  </si>
  <si>
    <t xml:space="preserve"> 4 )  Постановление администрации  Пермского муниципального района от 08.12.2015 №1687 "Об утверждении расходного обязательства по сопровождению программного продукта информационных систем обеспечения градостроительной деятельности";</t>
  </si>
  <si>
    <t>1)п 2.2.;</t>
  </si>
  <si>
    <t xml:space="preserve">1)20.01.2014, не установлена; 2) 02.02.2015.,    не установлена;   </t>
  </si>
  <si>
    <t>1)  Решение Земского Собрания Пермского муниципального района от 24.09.2015 № 98 "Об утверждении Положения об управлении и распоряжении земельными участками, находящимися в муниципальной собственности Пермского муниципального района";</t>
  </si>
  <si>
    <t>1)  01.03.2015,              не установлена;</t>
  </si>
  <si>
    <r>
      <t xml:space="preserve">владение, пользование и распоряжение имуществом, находящимся в муниципальной собственности городского </t>
    </r>
    <r>
      <rPr>
        <sz val="12"/>
        <color indexed="8"/>
        <rFont val="Times New Roman"/>
        <family val="1"/>
      </rPr>
      <t>поселения</t>
    </r>
  </si>
  <si>
    <r>
      <t>организация в границах городского</t>
    </r>
    <r>
      <rPr>
        <sz val="12"/>
        <color indexed="8"/>
        <rFont val="Times New Roman"/>
        <family val="1"/>
      </rPr>
      <t xml:space="preserve">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r>
  </si>
  <si>
    <r>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t>
    </r>
    <r>
      <rPr>
        <sz val="12"/>
        <color indexed="8"/>
        <rFont val="Times New Roman"/>
        <family val="1"/>
      </rPr>
      <t>поселения</t>
    </r>
  </si>
  <si>
    <r>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t>
    </r>
    <r>
      <rPr>
        <sz val="12"/>
        <color indexed="8"/>
        <rFont val="Times New Roman"/>
        <family val="1"/>
      </rPr>
      <t>поселения</t>
    </r>
  </si>
  <si>
    <r>
      <t xml:space="preserve">участие в предупреждении и ликвидации последствий чрезвычайных ситуаций в границах городского </t>
    </r>
    <r>
      <rPr>
        <sz val="12"/>
        <color indexed="8"/>
        <rFont val="Times New Roman"/>
        <family val="1"/>
      </rPr>
      <t>поселения</t>
    </r>
  </si>
  <si>
    <r>
      <t xml:space="preserve">обеспечение первичных мер пожарной безопасности в границах населенных пунктов городского </t>
    </r>
    <r>
      <rPr>
        <sz val="12"/>
        <color indexed="8"/>
        <rFont val="Times New Roman"/>
        <family val="1"/>
      </rPr>
      <t>поселения</t>
    </r>
  </si>
  <si>
    <r>
      <t xml:space="preserve">создание условий для обеспечения жителей городского </t>
    </r>
    <r>
      <rPr>
        <sz val="12"/>
        <color indexed="8"/>
        <rFont val="Times New Roman"/>
        <family val="1"/>
      </rPr>
      <t>поселения услугами связи, общественного питания, торговли и бытового обслуживания</t>
    </r>
  </si>
  <si>
    <r>
      <t xml:space="preserve">организация библиотечного обслуживания населения, комплектование и обеспечение сохранности библиотечных фондов библиотек городского </t>
    </r>
    <r>
      <rPr>
        <sz val="12"/>
        <color indexed="8"/>
        <rFont val="Times New Roman"/>
        <family val="1"/>
      </rPr>
      <t>поселения</t>
    </r>
  </si>
  <si>
    <r>
      <t xml:space="preserve">создание условий для организации досуга и обеспечения жителей городского </t>
    </r>
    <r>
      <rPr>
        <sz val="12"/>
        <color indexed="8"/>
        <rFont val="Times New Roman"/>
        <family val="1"/>
      </rPr>
      <t>поселения услугами организаций культуры</t>
    </r>
  </si>
  <si>
    <r>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t>
    </r>
    <r>
      <rPr>
        <sz val="12"/>
        <color indexed="8"/>
        <rFont val="Times New Roman"/>
        <family val="1"/>
      </rPr>
      <t xml:space="preserve"> поселении</t>
    </r>
  </si>
  <si>
    <r>
      <t>обеспечение условий для развития на территории городского</t>
    </r>
    <r>
      <rPr>
        <sz val="12"/>
        <color indexed="8"/>
        <rFont val="Times New Roman"/>
        <family val="1"/>
      </rPr>
      <t xml:space="preserve">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r>
    <r>
      <rPr>
        <sz val="12"/>
        <rFont val="Times New Roman"/>
        <family val="1"/>
      </rPr>
      <t xml:space="preserve">городского </t>
    </r>
    <r>
      <rPr>
        <sz val="12"/>
        <color indexed="8"/>
        <rFont val="Times New Roman"/>
        <family val="1"/>
      </rPr>
      <t>поселения</t>
    </r>
  </si>
  <si>
    <r>
      <t>создание условий для массового отдыха жителей городского</t>
    </r>
    <r>
      <rPr>
        <sz val="12"/>
        <color indexed="8"/>
        <rFont val="Times New Roman"/>
        <family val="1"/>
      </rPr>
      <t xml:space="preserve">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r>
  </si>
  <si>
    <r>
      <t xml:space="preserve">формирование архивных фондов городского </t>
    </r>
    <r>
      <rPr>
        <sz val="12"/>
        <color indexed="8"/>
        <rFont val="Times New Roman"/>
        <family val="1"/>
      </rPr>
      <t>поселения</t>
    </r>
  </si>
  <si>
    <r>
      <t xml:space="preserve">организация и осуществление мероприятий по территориальной обороне и гражданской обороне, защите населения и территории городского </t>
    </r>
    <r>
      <rPr>
        <sz val="12"/>
        <color indexed="8"/>
        <rFont val="Times New Roman"/>
        <family val="1"/>
      </rPr>
      <t>поселения от чрезвычайных ситуаций природного и техногенного характера</t>
    </r>
  </si>
  <si>
    <r>
      <t xml:space="preserve">создание, содержание и организация деятельности аварийно-спасательных служб и (или) аварийно-спасательных формирований на территории городского </t>
    </r>
    <r>
      <rPr>
        <sz val="12"/>
        <color indexed="8"/>
        <rFont val="Times New Roman"/>
        <family val="1"/>
      </rPr>
      <t>поселения</t>
    </r>
  </si>
  <si>
    <r>
      <t xml:space="preserve">организация и осуществление мероприятий по работе с детьми и молодежью в городском </t>
    </r>
    <r>
      <rPr>
        <sz val="12"/>
        <color indexed="8"/>
        <rFont val="Times New Roman"/>
        <family val="1"/>
      </rPr>
      <t>поселении</t>
    </r>
  </si>
  <si>
    <r>
      <t xml:space="preserve">предоставление помещения для работы на обслуживаемом административном участке городского </t>
    </r>
    <r>
      <rPr>
        <sz val="12"/>
        <color indexed="8"/>
        <rFont val="Times New Roman"/>
        <family val="1"/>
      </rPr>
      <t>поселения сотруднику, замещающему должность участкового уполномоченного полиции</t>
    </r>
  </si>
  <si>
    <r>
      <t xml:space="preserve">осуществление мер по противодействию коррупции в границах городского </t>
    </r>
    <r>
      <rPr>
        <sz val="12"/>
        <color indexed="8"/>
        <rFont val="Times New Roman"/>
        <family val="1"/>
      </rPr>
      <t>поселения</t>
    </r>
  </si>
  <si>
    <t xml:space="preserve"> 1)Решение Земского Собрания Пермского муниципального района от 27.10.2011 г. №208 "Об утверждении Положения о денежном содержании муниципальных служащих органов местного самоуправления Пермского муниципального района";  2)Решение Земского Собрания Пермского муниципального района" от 30.10.2013г. №393 "Об утверждении Положения об оплате труда руководителей, специалистов, служащих, замещающих должности, не отнесённые к должностям муниципальной службы, и работников рабочих профессий органов местного самоуправления"; 3)Решение Земского Собрания Пермского муниципального района от 27.05.2008 N 668 "Об утверждении Положения о порядке материально-технического и организационного обеспечения деятельности органов местного самоуправления Пермского муниципального района"; 4)Решение ЗС от 29.01.2009 №752 "Об утверждении порядка и условий командирования муниципальных служащих ОМС Пермского муниципального района"; 
 </t>
  </si>
  <si>
    <t xml:space="preserve">1)01.01.2011, не установлена;  2)28.08.2014, не установлена; 3)05.06.2008, не установлена  4)06.02.2009, не установлена; 5)01.01.2011, не установлена;  6)12.12.2014, не установлена; 7)15.03.13, не установлен8) 13.05.2010, не установлен  </t>
  </si>
  <si>
    <t xml:space="preserve">5)ч.5; </t>
  </si>
  <si>
    <t xml:space="preserve">2)п.11; 3)п.1; 4)п.1;                                                                                                                                                                                                                                                                                                                                                                                                                                                                                                                                                                              </t>
  </si>
  <si>
    <t>1)29.03.2012,  не установлена;                                                                                                                                                                                                                                                                                                                                                                                                                                                                                                              2) 28.08.2008,       не установлена; 3)01.01.2011, не установлена;  4)28.08.2014, не установлена</t>
  </si>
  <si>
    <t xml:space="preserve">5)05.06.2008, не установлена;6)27.05.2011,  не установлена;                    7) 09.07.2013,     не установлена </t>
  </si>
  <si>
    <t xml:space="preserve">1) Постановление администрации ПМР от 30.09.2015 г. № 1320 "Об утверждении нормативов финансовых затрат капитальный ремонт, ремонт и содержание автомобильных дорог местного значения, находящихся в собственности Пермского муниципального района, на 2016 год"; 2) Постановление администрации ПМР от 06.10.2015г. № 1330 "Об утверждении перечня  автомобильных дорог и искусственных сооружений на них Пермского муниципального района";  3) Решение ЗС ПМР от 24.09.2015 г. № 97 "Об утверждении Положения об автомобильных дорогах и дорожной деятельности на территории Пермского муниципального района"; 4) Решение Земского Собрания Пермского муниципального района от 26.09.2013 N 384
"О создании дорожного фонда Пермского муниципального района и об утверждении Порядка формирования и использования бюджетных ассигнований дорожного фонда"; 
  </t>
  </si>
  <si>
    <t>4)Решение Земского Собрания от 27.10.2011 № 208 "Об утверждении Положения о денежном содержании муниципальных служащих органов местного самоуправления Пермского муниципального района"  (ред. от 28.05.15); 5)Решение Земского Собрания от 30.10.2013 № 393 "Об утверждении Положения об оплате труда руководителей, специалистов, служащих, замещающих должности, не отнесенные к должностям муниципальной службы, и работников рабочих профессий органов местного самоуправления" (ред. от 28.08.14);6)Постановление Администрации Пермского муниципального района от 05.02.2014 N 323 "Об утверждении Правил осуществления капитальных вложений в объекты муниципальной собственности за счет средств бюджета Пермского муниципального района" ; 7)Постановление Администрации Пермского муниципального района от 22.06.2015 N 1129 "Об утверждении Порядка принятия решений о подготовке и реализации бюджетных инвестиций в объекты капитального строительства муниципальной собственности Пермского муниципального района"</t>
  </si>
  <si>
    <t xml:space="preserve">3)Постановление Правительства Пермского края от 08.04.2014 №242-п "Об утверждении Порядка предоставления из бюджета Пермского края субсидий бюджетам муниципальных районов (городских округов), монопрофильных населенных пунктов (моногородов) Пермского края в целях софинансирования отдельных мероприятий муниципальных программ, направленных на развитие малого и среднего предпринимательства, и Правил расходования субсидий в рамках реализации отдельных мероприятий муниципальных программ развития малого и среднего предпринимательства"     </t>
  </si>
  <si>
    <t xml:space="preserve">1)Решение Земского Собрания от 27.10.2011 № 208 (в ред.от 28.05.2015 №79) "Об утверждении Положения о денежном содержании муниципальных служащих органов местного самоуправления Пермского муниципального района"; 2)Решения Земского Собрания от 27.05.2008 №668 (в ред. от 26.08.2010 №94)  "Об утверждении Положения о порядке материально-технического и организационного обеспечения деятельности местного самоуправления Пермского муниципального района"; 3)Решения Земского Собрания от 30.10.2013 №393 (в ред. от 28.08.2014 №487) "Об утверждении Положения об оплате труда, руководителей, специалистов, служащих, замещающих должности, не отнесенные к должностям муниципальной службы, и работников рабочих профессий органов местного самоуправления"; 4)Решение
 Земского собрания от 29.01.2009 № 752(ред.от 28.04.2015 № 68) "Об утверждении порядка и условий командирования муниципальных служащих органов местного самоуправления Пермского муниципального района";
</t>
  </si>
  <si>
    <t xml:space="preserve">5)Решение Земского Собрания от 23.08.2007 №557 (ред. от 26.03.2014 №434)"Об утверждении Положения об управлении сельского хозяйства, продовольствия и закупок"; 6)Постановления администрации Пермского муниципального района № 1577 от 24.04.2014 (в ред. от 24.04.2015 №979)  "Об утверждении Правил предоставления субсидий на развитие семейных животноводческих ферм на базе крестьянских (фермерских) хозяйств и на поддержку начинающих крестьянских (фермерских) хозяйств  в рамках реализации отдельных мероприятий муниципальной программы "Сельское хозяйство Пермского муниципального района на 2014-2016 годы"  
</t>
  </si>
  <si>
    <t>1)Решение Земского Собрания от 27.11.2009 №13 "Об утверждении Положения о системе оплаты труда работников муниципальных учреждений культуры Пермского муниципального района"; 2)Постановление администрации Пермского муниципального района от 22.09.2015 № 1307 "Об утверждении Положения о формировании муниципального задания на оказание услуг (выполнение работ) и его финансового обеспечения Пермского муниципального района"; 3)Постановление администрации Пермского муниципального района от 29.01.2014 № 292 "Об утверждении схемы должностных окладов работников учреждений культуры Пермского муниципального района"; 4)Постановление администрации Пермского муниципального района от 26.06.2013 № 1724 "О размерах окладов работников рабочих профессий муниципальных учреждений Пермского муниципального района"; 5)Постановление администрации Пермского муниципального района от 22.09.2015 № 1307 "Об утверждении Положения о формировании муниципального задания на оказание муниципальных услуг (выполнение работ) и его финансового обеспечения"</t>
  </si>
  <si>
    <t>1)Закон Пермского края от 19.12.2006 года №44-КЗ"О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прав и организаций их деятельности"; 2)Постановление Правительства Пермского края от 13.03.2008 № 48-п "Об утверждении порядка предоставления и расходования субвенций из регионального фонда компенсаций на осуществление государственных полномочий по опеке и попечительству в отношении несовершеннолетних лиц"; 3)Указ губернатора Пермского края от 16.05.2006 № 82 "О порядке передачи средств регионального фонда компенсаций на обеспечение прав на защиту несовершеннолетних детей"; 4) Закон Пермской области от 05.09.2005 №2441-539  "О комиссиях по делам несовершеннолетних и защите их прав"</t>
  </si>
  <si>
    <t>1)Закон Пермской области от 09.09.1996 № 533-83 "Об охране семьи, материнства, отцовства и детства"; 2)Закон Пермского края от 10.09.2008 № 290-ПК "О наделении органов местного самоуправления Пермского края государственными полномочиями по предоставлению мер социальной поддержки учащимся из малоимущих многодетных и малоимущих семей";                    3)Постановление Правительства ПК от 06.07.2007 № 130-п "О предоставлении мер социальной поддержки малоимущим семьям, имеющим детей, и беременным женщинам"</t>
  </si>
  <si>
    <t xml:space="preserve">1)Федеральный Закон  от 06.10.2003 № 131-ФЗ "Об общих принципах организации местного самоуправления в Российской Федерации";  2)Федеральный закон от 21.07.2005 N 108-ФЗ "О Всероссийской сельскохозяйственной переписи";     3)Постановление Правительства РФ от 25.07.2015 N 763 "О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 (вместе с "Правилами предоставления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 "Методикой расчета нормативов для определения общего размера субвенций, предоставляемых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
</t>
  </si>
  <si>
    <t>Решение Земского Собрания ПМР от 30.10.2014 №7 "Об утверждении Порядка предоставления бюджетам сельских поселений из бюджета Пермского муниципального района иных межбюджетных трансфертов на обеспечение мероприятий по переселению граждан из аварийного жилищного фонда"</t>
  </si>
  <si>
    <t>п.1.4.</t>
  </si>
  <si>
    <t>31.10.2014, не установлен</t>
  </si>
  <si>
    <t xml:space="preserve">1) ФЗ от 06.10.2003 № 131-ФЗ (в ред. от 05.10.2015) "Об общих принципах организации местного самоуправления в Российской Федерации";                                      2) ФЗ от 24.07.2007. № 209-ФЗ (в ред. от 29.06.2015)"О развитии малого и среднего предпринимательства в РФ".    </t>
  </si>
  <si>
    <t>1) ст.15 п.1 ч.25);    2) ч.1, ч.3 ст.11.</t>
  </si>
  <si>
    <t xml:space="preserve">   1) 01.01.2006, не установлен  2) 24.07.2007, не установлен.</t>
  </si>
  <si>
    <t>1) Постановление Правительства Пермского края от 03.10.2013 года № 1325-п (в ред. от 23.09.2015)  "Об утверждении государственной  программы Пермского края "Экономическое развитие и инновационная экономика ";               2) Постановление Правительства Пермского края от 08.04.2014 № 242-п
(ред. от 10.09.2015)
"Об утверждении Порядка предоставления из бюджета Пермского края субсидий бюджетам муниципальных районов (городских округов), монопрофильных населенных пунктов (моногородов) Пермского края в целях софинансирования отдельных мероприятий муниципальных программ, направленных на развитие малого и среднего предпринимательства, и Правил расходования субсидий в рамках реализации отдельных мероприятий муниципальных программ развития малого и среднего предпринимательства".</t>
  </si>
  <si>
    <t>1) пп.6.2 разд. IV; 2) пп.1.3-1.7 разд. I.</t>
  </si>
  <si>
    <t>1) с 03.10.2013, по 31.12.2017;                       2) 08.04.2014,  не установлен.</t>
  </si>
  <si>
    <t>1) разд. 2, 3; 2) п.1.5 Положения;    3) п.1.6 Положения;    4) п.1.5 Положения;        5) п.1.5 Положения;    6) п.1 пост., прил. (Порядок - в целом);      7) п.1,2, разд. 3 Поряд.</t>
  </si>
  <si>
    <t xml:space="preserve">1) 08.02.2016, не установлен; 2) 25.06.2014, не установлен;   3) 25.06.2014, не установлен;   4) 25.06.2014, не установлен;   5) 25.06.2014, не установлен;   6) 29.12.2015, не установлен;  7) 22.04.2016, не установлен.   </t>
  </si>
  <si>
    <t>1)п.26 Правил;                2)ст.15,п.4</t>
  </si>
  <si>
    <t>1)01.01.2011-31.12. 2015;         2) 01.01.2006, не установлен;            3)с 15.07.2013- не установлен</t>
  </si>
  <si>
    <t xml:space="preserve">1)Постановление Правительства Пермского края от 01.04.2014 № 215-п "О реализации мероприятий подпрограммы 1 "Государственная социальная поддержка семей и детей" государственной программы "Семья и дети Пермского края", утвержденной постановлением Правительства Пермского края от 3 октября 2013 г. № 1322-п;                                            2) Постановление Правительства Пермского края от 15.05.2014 № 338-п (в ред. от 19.08.2015)"Порядок предоставления бюджетам муниципальных районов (городских округов) Пермского края субсидий за счет средств федерального бюджета на улучшение жилищных условий граждан, проживающих в сельской местности, в том числе молодых семей и молодых специалистов."
</t>
  </si>
  <si>
    <t>1)01.04.2014-не установлен, 2) с 15.05.2014-не установлен.</t>
  </si>
  <si>
    <t xml:space="preserve">1)1)Постановление администрации Пермского муниципального района от 19.11.2014 №4795 "Об утверждении порядка предоставления молодым семьям социальных выплат на приобретение (строительство) жилья и их использования; 2) Постановление    администрации Пермского муниципального района от 18.11.2014 № 4787 "Об утверждении порядка предоставления социальных выплат на строительство (приобретение) жилья граждан, в том числе молодым семьям и молодым специалистам, проживающим в Пермском муниципальном районе; 3)Решение Совета депутатов о передаче полномочий.                                                                                  </t>
  </si>
  <si>
    <t xml:space="preserve">1) п.1  ; 2) п.1        </t>
  </si>
  <si>
    <t>1)19.11.2014, не установлен ; 2)18.11.2014, не установлен.</t>
  </si>
  <si>
    <t>1)  Постановление главы от 13.03.2008 г. № 720 "Об утверждении порядка взаимодействия участников системы муниципального заказа при формировании, размещении, исполнения и контроля за размещением и исполнением муниципального заказа муниципального образования "Пермский муниципальный район";              2)Постановление главы администрации Пермского муниципального района от 23.04.2014 №1530 "Об утверждении Порядка предоставления субсидии из бюджета Пермского муниципального района на возмещение части затрат по опубликованию муниципальных правовых актов и иной информации, и распространению муниципальной газеты "Нива"".                  3)Постановление адм-ии ПМР от17.02.2012 №661 "об утверждении Положения об оплате труда работников МУП ПМР "Редакция газеты "Нива"".</t>
  </si>
  <si>
    <t>1) П.3.1.;       2)п.1</t>
  </si>
  <si>
    <t>1) 06.06.2008, не установлен;       2)23.04.2014, не установлен</t>
  </si>
  <si>
    <t xml:space="preserve">1) Постановление Правительства РФ от 02.08.2011 № 644 (в ред. от 18.12.2014) "О федеральной целевой программе "Развитие внутреннего и въездного туризма в Россиской Федерации (2011-2018 годы)"                            </t>
  </si>
  <si>
    <t xml:space="preserve"> 1) раздел II. </t>
  </si>
  <si>
    <t xml:space="preserve">   1) 02.08.2011, 31.12.2018.</t>
  </si>
  <si>
    <t>1) Постановление Правительства Пермского края от 14.02.2014 № 80-п (в ред. от 25.09.2015) "Об утверждении государственной программы "Развитие туризма".</t>
  </si>
  <si>
    <t xml:space="preserve">  1) пп.2.3.2.2 п.2.3 разд.II</t>
  </si>
  <si>
    <t>1) с 14.02.2014, 31.12.2017.</t>
  </si>
  <si>
    <t>1) Постановление администрации Пермского муниципального района от 29.12.2015 № 1737 "Об установлении расходных обязательств Пермского муниципального района на реализацию отдельных мероприятий по поддержке малого и среднего предпринимательства".</t>
  </si>
  <si>
    <t>1) п.1,2, разд. 3 Поряд.</t>
  </si>
  <si>
    <t xml:space="preserve">1) 22.04.2016, не установлен.   </t>
  </si>
  <si>
    <t xml:space="preserve">1)Постановление администрации Пермского муниципального района от 20.01.14 №108 "Об организации взаимодействия при исполнении судебных актов по обращению взысканий на бюджетные средства Пермского муниципального района";  2) Решение Земского собрания Пермского  муниципального района  от 29.01.2015 № 40 "Об утверждении Положения о составе, порядке подготовки документов территориального планирования на территории Пермского муниципального района, порядке подготовки изменений и внесения изменений в документы, а  также о составе, порядке подготовки планов реализации таких документов";               3) Постановление администрации Пермского муниципального района от  15 декабря 2011 года № 4303 "Порядок подготовки,  утверждения, регистрации и выдачи градостроительного плана земельного участка"(ред. от 26.06.2012); </t>
  </si>
  <si>
    <t xml:space="preserve">11)Постановление администрации Пермского муниципального района от 25.05.2012 №1593 "Об утверждении порядка предоставления субсидий в виде имущественного взноса на обеспечение деятельности Пермского муниципального фонда поддержки малого предпринимательства";  
                                                        </t>
  </si>
  <si>
    <t xml:space="preserve">4)Постановление администрации Пермского муниципального района от 19.11.2014 №4795 "Об утверждении порядка предоставления молодым семьям социальных выплат на приобретение (строительство) жилья и их использования; 5) Постановление    администрации Пермского муниципального района от 18.11.2014 № 4787 "Об утверждении порядка предоставления социальных выплат на строительство (приобретение) жилья граждан, в том числе молодым семьям и молодым специалистам, проживающим в Пермском муниципальном районе; </t>
  </si>
  <si>
    <t xml:space="preserve">1) п.6 ч.1 ст.14, ч.4 ст.15;            2)ст.18, 19, 19.1, 20; 3)п.26 Правил; </t>
  </si>
  <si>
    <t xml:space="preserve">1)01.01.2006, не установлена;  2)07.08.2007, не установлена; 3)01.01.2011-31.12. 2015;  4)15.07.2013- не установлена   </t>
  </si>
  <si>
    <t>1) Постановление Правительства Российской Федерации от 17.12.2010 № 1050  (в ред. 25.08.15)"О федеральной целевой программе "Жилище" на 2015-2020 годы";     2)Федеральный Закон  от 06.10.2003 № 131-ФЗ (в ред. от 05.10.2015) "О б общих принципах организации местного самоуправления в Российской Федерации"; 3) Постановление Правительства РФ от 15.07.2013 № 598 (в ред. 25.08.15) "О федеральной целевой программе "Устойчивое развитие сельских территроий на 2014-2017 годы и на плановый период до 2020 года"</t>
  </si>
  <si>
    <t>1)  Постановление главы от 13.03.2008 г. № 720 "Об утверждении порядка взаимодействия участников системы муниципального заказа при формировании, размещении, исполнения и контроля за размещением и исполнением муниципального заказа муниципального образования "Пермский муниципальный район";              2)Постановление главы администрации Пермского муниципального района от 23.04.2014 №1530 "Об утверждении Порядка предоставления субсидии из бюджета Пермского муниципального района на возмещение части затрат по опубликованию муниципальных правовых актов и иной информации, и распространению муниципальной газеты "Нива"".                  3)Постановление адм-ии ПМР от17.02.2012 №661 "об утверждении Положения об оплате труда работников МУП ПМР "Редакция газеты "Нива""; 4)Решение Земского собрания от  26.11.2010 г. №118 "О финансировании расходов по информированию населения"</t>
  </si>
  <si>
    <t>1) Постановление администрации ПМР от 08.02.2016 № 43 "Об утверждении Порядка определения объема и предоставления субсидий в виде взноса на обеспечение деятельности микрофинансовой организации Пермский муниципальный фонд поддержки малого предпринимательства";2) Постановление администрации ПМР от 25.06.2014 № 2530 "Об утверждении Положения о порядке и условиях предоставления субсидии на возмещение части затрат, связанных с уплатой процентов по инвестиционным кредитам"(в ред от 17.09.2015 );3) Постановление администрации ПМР от 25.06.2014 № 2535 "Об утверждении Положения о порядке и условиях предоставления субсидий на возмещение части затрат, связанных с уплатой первого взноса (аванса) по договорам лизинга оборудования, и (или) субсидий на возмещение части затрат, связанных с уплатой лизинговых платежей" (в ред от 09.12.2014);</t>
  </si>
  <si>
    <t>4) Постановление администрации ПМР от 25.06.2014 № 2533 "Об утверждении Положения о порядке и условиях предоставления субсидии на возмещение части затрат, связанных с приобретением оборудования"(в ред от 17.09.2015 № 1297);5) Постановление администрации ПМР от 25.06.2014 № 2529 "Об утверждении Положения о порядке и условиях предоставления субсидий начинающим субъектам малого предпринимательства" (в ред от 17.09.2015 № 1300);  6) Постановление администрации ПМР от 29.12.2015 № 1737 "Об установлении  расходных обязательств ПМР на реализацию отдельных мероприятий по поддержке малого и среднего предпринимательства"; 7) Постановление администрации ПМР от 29.12.2015 № 1737 "Об установлении расходных обязательств ПМР на реализацию отдельных мероприятий по поддержке малого и среднего предпринимательства".</t>
  </si>
  <si>
    <t>5)Решение ЗС от 28.10.2010г. №108 "О размере финансового обеспечения ежегодной диспансеризации одного муниципального служащего Пермского муниципального района"; 6) Постановление от 12.12.2014 №5216 "Об установлении нормативов по обеспечению лиц, замещающих должности муниципальной службы, услугами связи"; 7) Постановление администрации Пермского муниципального района от 15.03.2013 г. № 695 "О конкурсе по достижению наиболее результативных значений управленческой деятельности органов местного самоуправления сельских поселений Пермского муниципального района"8) Решение Земского Собрания Пермского муниципального района от 29.04.2010 №60 (ред.от 26.02.2015г.) Об утверждении порядков установления и выплаты пенсии за выслугу лет лицам, замещавшим муниципальной службы в Пермском муниципальном районе"</t>
  </si>
  <si>
    <t xml:space="preserve">1) Решение Земского Собрания Пермского муниципального района от 29.03.2012№253 "Об утверждении Положения об аренде муниципального имущества"(ред.от 27.02.2014);  2) Решение Земского Собрания Пермского муниципального района от28.08.2008.№696"Об утверждении Положения о порядке установления и распоряжения муниципальной  собственностью Пермского муниципальной района"(ред.от 28.05.2015); 3)Решение Земского Собрания Пермского муниципального района от 27.10.2011 г. №208 "Об утверждении Положения о денежном содержании муниципальных служащих органов местного самоуправления Пермского муниципального района";  4)Решение Земского Собрания Пермского муниципального района" от 30.10.2013г. №393 "Об утверждении Положения об оплате труда руководителей, специалистов, служащих, замещающих должности, не отнесённые к должностям муниципальной службы, и работников рабочих профессий органов местного самоуправления"; </t>
  </si>
  <si>
    <t xml:space="preserve">5)Решение Земского Собрания Пермского муниципального района от 27.05.2008 N 668 "Об утверждении Положения о порядке материально-технического и организационного обеспечения деятельности органов местного самоуправления Пермского муниципального района"; 6)Решение Земского Собрания Пермского муниципального района от 27.05.2011 № 177 "Об утверждении Положения о системе оплаты труда работников муниципальных учреждений Пермского муниципального района";                                                                                  7)  Постановление администрации Пермского муниципального района об утверждении Положения"Об оплате труда работников муниципального казенного учреждения"Управление земельно-имущественными ресурсами Пермского муниципального района" от 04.07.2013г№1838 (ред.от 31.12.2014);       </t>
  </si>
  <si>
    <t xml:space="preserve">5) Постановление администрации ПМР от 04.12.2014 №5071 "Об утверждении Правил расчета размера ассигнований бюджета Пермского муниципального района на капитальный ремонт, ремонт и содержание автомобильных дорог"; 6)Постановление администрации ПМР  от 01.12.2014 №5055 "Об установлении расходного обязательства Пермского муниципального района по благоустройству территориального административного центра Пермского муниципального района"
</t>
  </si>
  <si>
    <t xml:space="preserve">Постановление Правительства ПК от 03.10.2013 года №1326-п "Об утверждении 
государственной программы Пермского края "Обеспечение взаимодействия общества и власти"
</t>
  </si>
  <si>
    <t>1) Федеральный закон от 06.10.2003 № 131-ФЗ "О б общих принципах организации местного самоуправления в Российской Федерации";   2) Федеральный закон от  10.01.2002 № 7-ФЗ "Об охране окружающей среды"</t>
  </si>
  <si>
    <t xml:space="preserve">11)'Постановление администрации ПМР от 26.06.2013 № 1724 "О размерах окладов работников рабочих профессий муниципальных учреждений Пермского муниципального района"; 12)Постановление администрации ПМР от 20.10.2014 № 4333 "О родительской плате за присмотр и уход за детьми в муниципальных образовательных организациях, реализующих образовательные программы дошкольного образования"; 13)Постановление администрации ПМР от 02.02.2015 № 247 "Об установлении расходного обязательства по организации подвоза учащихся к месту учебы и обратно"; 14)Постановление администрации ПМР от 22.09.2015 № 1307 "Об утверждении Положения о формировании муниципального задания на оказание муниципальных услуг (выполнение работ) и его финансового обеспечения; </t>
  </si>
  <si>
    <t>1) Решение Земского собрания от 23.09.2010 № 102 "Об утверждении положения об организации ритуальных услуг и о содержании межпоселенческих мест захоронения и положения о порядке эвакуации умерших из жилья, больниц, с улиц и мест аварий, катастроф, пожаров", 2) Постановление администрации ПМР от 04.03.2016 №104 "Об установлении расходного обязательства Пермского муниципального района на предоставление субсидий за счет средств бюджета Пермского муниципального района на возмещение затрат по содержанию межпоселенческих кладбищ"; 3) Постановление администрации от 03.11.2010 г. № 1588 "Об утверждении Правил содержания, порядка деятельности межпоселенческих кладбищ"</t>
  </si>
  <si>
    <t>5)Постановление администрации Пермского муниципального района от 14.05.2015 № 1030 "Об организации отдыха и оздоровления детей Пермского муниципального района"; 6)Постановление администрации ПМР от 16.12.2010 года №2359 (в ред. от 14.03.2012) "Об утверждении Порядка предоставления субсидий в виде имущественного взноса на обеспечение деятельности Фонда молодежных инициатив Пермского муниципального района";</t>
  </si>
  <si>
    <t>1) Федеральный закон от 06.10.2003 № 131-ФЗ "О б общих принципах организации местного самоуправления в Российской Федерации";     2)Федеральный закон РФ от 21.07.2007 №185-ФЗ «О Фонде содействия реформированию жилищно-коммунального хозяйства»; 3)Постановление Правительства Российской Федерации от 17.12.2010 № 1050  (в ред. 25.08.15)"О федеральной целевой программе "Жилище" на 2015-2020 годы"; 4)Постановление Правительства РФ от 15.07.2013 № 598 (в ред. 25.08.15) "О федеральной целевой программе "Устойчивое развитие сельских территорий на 2014-2017 годы и на плановый период до 2020 года"</t>
  </si>
  <si>
    <t xml:space="preserve">1) Решение Земского Собрания Пермского муниципального района от 27.05.2011 №177  "Об утверждении Положения о системе оплаты труда работников муниципальных учреждений Пермского муниципального района; 2)Постановление администрации ПМР от 27.10.2011 № 3667"Об оплате труда работников муниципального  учреждения "Управление капитального строительство Пермского муниципального района, муниципального казённого учреждения "Управление благоустройством Пермского муниципального района"; 3)Постановление администрации ПМР от 010.12.2014 №5056 "Об установлении расходного обязательства Пермского муниципального района по проведению конкурса профессионального мастерства "Лучший по профессии"; </t>
  </si>
  <si>
    <t xml:space="preserve">1)Закон Пермского края от 09.07.2007 №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     2)Постановление Правительства Пермского края от 03.05.2012г. №275-п "Об утверждении Порядка предоставления и расходования межбюджетных трансфертов, передаваемых из бюджета Пермского края бюджетам муниципальных районов (городских округов) Пермского края на выполнение государственных полномочий по хранению, комплектованию, учету и использованию архивных документов государственной части документов архивного фонда Пермского края";                3)Закон Пермского края от 06.03.2007 N 11-ПК "Об архивном деле в Пермском крае" </t>
  </si>
  <si>
    <t>1)Распоряжение администрации Пермского муниципального района от 05.07.2013  №128-р "О предоставлении полномочий"</t>
  </si>
  <si>
    <t>1)Закон ПК от 03.02.2008 № 194-ПК "О наделении органов местного самоуправления Пермского края государственными полномочиями по выплате вознаграждения за выполнение функций классного руководителя педагогическим работникам муниципальных образовательных учреждений";  2)Постановление Правительства ПК от 30.05.2014 № 420-п"Об утверждении Порядка предоставления и расходования субвенций, переданных из бюджета Пермского края бюджетам муниципальных районов (городских округов) Пермского края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t>
  </si>
  <si>
    <t>1) Решение ЗС ПР от 31.01.2008 г. № 620 "Об утверждении положения об организации пассажирских перевозок автомобильным транспортом на пригородных маршрутах ПМР", 2) Постановление главы администрации ПМР от 03.03.2011 г. № 793 "Об утверждении Порядка предоставления за счёт средств бюджета Пермского края субсидий хозяйствующим субъектам на возмещение недополученных доходов от перевозки отдельных категорий граждан с использованием социальных проездных документов на территории Пермского района"</t>
  </si>
  <si>
    <t>Постановление администрации Пермского муниципального района от 16.09.2014 № 3821 "Об утверждении Перечня должностных лиц администрации Пермского муниципального района, уполномоченных составлять протоколы об административных правонарушениях."</t>
  </si>
  <si>
    <t>1)01.01.2007, не у установлена; 2)13.03.2008, не установлена; 3)16.05.2006, не установлена; 4)18.10.2005, не установлена</t>
  </si>
  <si>
    <t>1)Закон ПК от 28.09.2006 г.  № 19-КЗ "Об основах организации транспортного обслуживания населения на территории ПК";       2) Закон ПК от 17.10.2006 г. № 20-КЗ "О передаче органам МСУ ПК гос. полномочий по регулированию тарифов на перевозки пассажиров и багажа автомобильным, городским эл. транспортом на поселенческих, районных и межмуниципальных маршрутах городского, пригородного и междугородного сообщений"</t>
  </si>
  <si>
    <t>1)Федеральный Закон  от 06.10.2003 № 131-ФЗ "Об общих принципах организации местного самоуправления в Российской Федерации"; 2)Постановление Правительства Российской Федерации от 10.12.2002 № 879 "Об утверждении положения о регистрации и учете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</si>
  <si>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1)Закон ПК от 23.12.2010 № 729-ПК "О дополнительных мерах социальной поддержки отдельных категорий лиц, которым присуждена ученая степень кандидата наук, доктора наук, работающих в образовательных учреждениях Пермского края";      2)Постановление Правительства ПК от 23.11.2011 № 937-п "Об утверждении Порядка предоставления ежемесячной денежной выплаты отдельным категориям лиц, которым присуждена ученая степень кандидата наук, доктора наук, работающих в образовательных учреждениях на территории Пермского края"</t>
  </si>
  <si>
    <t>1)Закон Пермского края от 01.06.2010 № 628-ПК "О социальной поддержке педагогических работников образовательных учреждений, работающих в сельской местности и поселках городского типа (рабочих поселках), по оплате жилого помещения и коммунальных услуг";                                            2)Постановление Правительства Пермского края от 08.06.2010 №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3)Постановление Правительства Пермского края от 15.02.2008 № 23-п "О механизме возмещения расходов, связанных с предоставлением мер социальной поддержки педагогическим работникам, и порядке выплаты денежной компенсации педагогическим работникам на приобретение твердого топлива и его доставку "</t>
  </si>
  <si>
    <t>1)Постановление Правительства Пермского края от 13.04.2011 №188-п " Об утверждении порядка предоставления из бюджета Пермского края иных межбюджетных трансфертов бюджетам муниципальных образований Пермского края на решение вопросов местного значения, осуществляемых с участием средств самообложения граждан"</t>
  </si>
  <si>
    <t>1)14.02.2012,не установлена</t>
  </si>
  <si>
    <t>5)Постановление администрации Пермского муниципального района от 30.10.2015 № 1393  "Об установлении расходного обязательства по обеспечению льгот по родительской плате за обучение в МБОО ДОД ДШИ Пермского муниципального района"; 6)Решение Земского Собрания Пермского муниципального района от 28.04.2015 № 69 "Об обеспечении работников муниципальных учреждений Пермского муниципального района путевками на санаторно-курортное лечение и оздоровление"; 7)Постановление администрации Пермского муниципального района от 14.08.2015 № 1242 "Об утверждении Порядка обеспечения работников муниципальных учреждений Пермского муниципального района путевками на санаторно-курортное лечение и оздоровление и Порядка взаимодействия участников системы обеспечения работников путевками на санаторно-курортное лечение и оздоровление"</t>
  </si>
  <si>
    <t xml:space="preserve">1)Решение ЗС от 27.05.2011г. № 177 "Об утверждении положения о системе оплаты труда работников муниципальных учреждений Пермского муниципального района"; 2)Постановление администрации Пермского муниципального района от 05.12.12 №3462  "О создании Муниципального казённого учреждения "Архив Пермского района"; 3) Постановление администрации Пермского муниципального района от 09.10.2013 №2970 (в ред. от 31.12.2014 г) "Об уплате труда работников муниципального казённого учреждения"Центр обеспечения безопасности Пермского муниципального района",МКУ  "Архив Пермского района", МКУ "Центр развития образования Пермского муниципального района", МКУ "Управления муниципальных закупок" Пермского муниципального района"; 4)Решение ЗС от 30.10.2013г. №390 "Об утверждении Положения о формировании и содержании
муниципального архива Пермского
муниципального района, включая
хранение архивных фондов поселений
Пермского муниципального района"
</t>
  </si>
  <si>
    <t xml:space="preserve"> 1)Постановления администрации Пермского муниципального района  № 1911 от 18.05.2011г. "О создании Муниципального казённого учреждения "Центр обеспечения безопасности Пермского муниципального района"; 2) Постановление администрации Пермского муниципального района от 20.11.2014 №4828 (в ред. от 31.12.2014)"Об оплате труда работников муниципального казённого учреждения"Центр обеспечения безопасности Пермского муниципального района"; 3) Распоряжение от 30.09.2013 №171-р "Об установлении лимита расходов на служебную сотовую связь руководителям муниципальных казённых учреждений"; 4) Решение ЗС от 27.05.2011г. № 177 "Об утверждении положения о системе оплаты труда работников муниципальных учреждений Пермского муниципального района", 5) Постановление администрации Пермского муниципального района  от 29.11.2013 №3986 (в ред. от 18.12.2014) "Об утверждении муниципальной Программы "Обеспечение  безопасности населения и территории Пермского муниципального района на 2014-2016 годы" </t>
  </si>
  <si>
    <t>7)Постановление администрации Пермского муниципального района от 29.04.2014 № 1652  (в ред. от 15.04.2015 № 951) "Об утверждении Положения о порядке предоставления субсидий на возмещение части затрат сельскохозяйственным товаропроизводителям всех форм собственности на организацию и проведение ярморочных и других мероприятий, направленных на расширение рынков сельскохозяйственной продукции, сырья и продовольствия, способствующих сбыту сельскохозяйственной продукции и сельскохозяйственных животных в рамках подпрограммы "Поддержка малых форм хозяйствования" муниципальной программы "Сельское хозяйство Пермского муниципального района на 2014-2016 годы"; 8)Постановление администрации Пермского муниципального района от 30.05.2014 №2145 "Об утверждении Порядка определения объема и условия предоставления субсидии на возмещение затрат сельскохозяйственному товаропроизводителю на реализацию отдельных мероприятий муниципальной программы "Сельское хозяйство Пермского муниципального района на 2014-2016 годы"</t>
  </si>
  <si>
    <t xml:space="preserve">1)Постановление Правительства Пермского от 25.07.2013 № 980 "Об утверждении Порядка предоставления  субсидий бюджетам муниципальных районов (городских округов) Пермского края из бюджета Пермского края в целях софинансирования отдельных мероприятий муниципальных программ развития сельского хозяйства, правил расходования субсидий бюджетам муниципальных районов (городских округов) Пермского края из бюджета Пермского края в рамках реализации отдельных мероприятий муниципальных прогрпам развития сельского хозяйства"; 2)Закон Пермского края от 04.05.2008 №228-ПК "О муниципальной служб                     е в Пермском крае";  
</t>
  </si>
  <si>
    <t>4)Постановление администрации Пермского муниципального района от 09.10.2013 №2970 (в ред. от 31.12.2014г) "Об уплате труда работников муниципального казённого учреждения"Центр обеспечения безопасности Пермского муниципального района",МКУ  "Архив Пермского района", МКУ "Центр развития образования Пермского муниципального района", МКУ "Управления муниципальных закупок" Пермского муниципального района";</t>
  </si>
  <si>
    <t>1)Решение ЗС от 27.05.2011г. № 177 "Об утверждении положения о системе оплаты труда работников муниципальных учреждений Пермского муниципального района"; 2)Постановление администрации Пермского муниципального района от 05.12.12 №3462  "О создании Муниципального казённого учреждения "Архив Пермского района"; 3)Постановление администрации Пермского муниципального района от 09.10.2013 №2970 (в ред. от 31.12.2014) "Об уплате труда работников муниципального казённого учреждения"Центр обеспечения безопасности Пермского муниципального района",МКУ  "Архив Пермского района", МКУ "Центр развития образования Пермского муниципального района", МКУ "Управления муниципальных закупок" Пермского муниципального района"; 4)Постановление администрации ПМР от 04.12.2009 года №378 "Об утверждении порядка расходования средств" 5)Решение ЗС от 30.10.2013г. №390 "Об утверждении Положения о формировании и содержании муниципального архива Пермского муниципального района, включая хранение архивных фондов поселений Пермского муниципального района"</t>
  </si>
  <si>
    <t>1)Закон Пермского края от 07.07.2013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2)Постановление правительства Пермского края от 15.07.2013 №904-П "Об утверждении порядка передачи и использования субвенций, предоставляемых из бюджета Пермского края бюджетам муниципальных районов, городских округов Пермского края для осуществления отдельных государственных полномочий по поддержке сельскохозяйственного производства, порядка предоставления субвенций на расходы, необходимые органам местного самоуправления Пермского края для администрирования по поддержке сельскохозяйственного производства, порядка предоставления государственной поддержки кредитования малых форм хозяйствования"</t>
  </si>
  <si>
    <t>Заместитель начальника бюджетного отдела</t>
  </si>
  <si>
    <t>Е.Н. Мосина</t>
  </si>
  <si>
    <t>9)Постановление администрации Пермского муниципального района от 12.08.2013 № 2307 "Об утверждении Положения по предоставлению субсидий социально ориентированным некоммерческим организациям, не являющимся муниципальными учреждениями Пермского муниципального района"; 10) Решение ЗС от 26.11.2015 № 112 "Об утверждении Положения о поддержке социально ориентированных некоммерческих организациях в Пермском муниципальном районе"</t>
  </si>
  <si>
    <t xml:space="preserve">4) Постановление администрации ПМР от 25.06.2014 № 2533 "Об утверждении Положения о порядке и условиях предоставления субсидии на возмещение части затрат, связанных с приобретением оборудования"(в ред от 17.09.2015 № 1297);5) Постановление администрации ПМР от 25.06.2014 № 2529 "Об утверждении Положения о порядке и условиях предоставления субсидий начинающим субъектам малого предпринимательства" (в ред от 17.09.2015 № 1300);  6) Постановление администрации ПМР от 29.12.2015 № 1737 "Об установлении  расходных обязательств ПМР на реализацию отдельных мероприятий по поддержке малого и среднего предпринимательства";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</si>
</sst>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
    <numFmt numFmtId="171" formatCode="_-* #,##0.000_р_._-;\-* #,##0.000_р_._-;_-* &quot;-&quot;??_р_._-;_-@_-"/>
    <numFmt numFmtId="172" formatCode="000000"/>
    <numFmt numFmtId="173" formatCode="_-* #,##0.0_р_._-;\-* #,##0.0_р_._-;_-* &quot;-&quot;??_р_._-;_-@_-"/>
  </numFmts>
  <fonts count="60">
    <font>
      <sz val="10"/>
      <name val="Arial Cyr"/>
      <family val="0"/>
    </font>
    <font>
      <sz val="7"/>
      <color indexed="8"/>
      <name val="Times New Roman"/>
      <family val="1"/>
    </font>
    <font>
      <sz val="9"/>
      <name val="Times New Roman"/>
      <family val="1"/>
    </font>
    <font>
      <b/>
      <sz val="9"/>
      <name val="Times New Roman"/>
      <family val="1"/>
    </font>
    <font>
      <i/>
      <sz val="9"/>
      <name val="Times New Roman"/>
      <family val="1"/>
    </font>
    <font>
      <sz val="9"/>
      <color indexed="8"/>
      <name val="Times New Roman"/>
      <family val="1"/>
    </font>
    <font>
      <sz val="11"/>
      <name val="Times New Roman"/>
      <family val="1"/>
    </font>
    <font>
      <i/>
      <sz val="9"/>
      <color indexed="8"/>
      <name val="Times New Roman"/>
      <family val="1"/>
    </font>
    <font>
      <sz val="10"/>
      <name val="Arial"/>
      <family val="2"/>
    </font>
    <font>
      <b/>
      <sz val="12"/>
      <name val="Times New Roman"/>
      <family val="1"/>
    </font>
    <font>
      <sz val="12"/>
      <name val="Times New Roman"/>
      <family val="1"/>
    </font>
    <font>
      <i/>
      <sz val="12"/>
      <name val="Times New Roman"/>
      <family val="1"/>
    </font>
    <font>
      <sz val="12"/>
      <color indexed="8"/>
      <name val="Times New Roman"/>
      <family val="1"/>
    </font>
    <font>
      <i/>
      <sz val="12"/>
      <color indexed="8"/>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000000"/>
      <name val="Times New Roman"/>
      <family val="1"/>
    </font>
    <font>
      <sz val="12"/>
      <color theme="1"/>
      <name val="Times New Roman"/>
      <family val="1"/>
    </font>
    <font>
      <i/>
      <sz val="12"/>
      <color theme="1"/>
      <name val="Times New Roman"/>
      <family val="1"/>
    </font>
    <font>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style="thin"/>
      <right style="thin"/>
      <top/>
      <bottom style="thin"/>
    </border>
    <border>
      <left style="hair"/>
      <right>
        <color indexed="63"/>
      </right>
      <top style="hair"/>
      <bottom style="hair"/>
    </border>
    <border>
      <left style="thin"/>
      <right>
        <color indexed="63"/>
      </right>
      <top/>
      <bottom style="thin"/>
    </border>
    <border>
      <left style="thin"/>
      <right>
        <color indexed="63"/>
      </right>
      <top style="thin"/>
      <bottom style="thin"/>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color indexed="63"/>
      </left>
      <right style="thin"/>
      <top/>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lignment/>
      <protection/>
    </xf>
    <xf numFmtId="0" fontId="8" fillId="0" borderId="0">
      <alignment/>
      <protection/>
    </xf>
    <xf numFmtId="0" fontId="1" fillId="0" borderId="0">
      <alignment horizontal="left" vertical="top"/>
      <protection/>
    </xf>
    <xf numFmtId="0" fontId="1" fillId="0" borderId="0">
      <alignment horizontal="center" vertical="center"/>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334">
    <xf numFmtId="0" fontId="0" fillId="0" borderId="0" xfId="0"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center"/>
    </xf>
    <xf numFmtId="0" fontId="3" fillId="33" borderId="10" xfId="0" applyFont="1" applyFill="1" applyBorder="1" applyAlignment="1">
      <alignment vertical="center" wrapText="1"/>
    </xf>
    <xf numFmtId="49" fontId="3" fillId="33" borderId="10" xfId="0" applyNumberFormat="1" applyFont="1" applyFill="1" applyBorder="1" applyAlignment="1">
      <alignment vertical="center"/>
    </xf>
    <xf numFmtId="1" fontId="2" fillId="33" borderId="10" xfId="0" applyNumberFormat="1" applyFont="1" applyFill="1" applyBorder="1" applyAlignment="1">
      <alignment vertical="center"/>
    </xf>
    <xf numFmtId="0" fontId="2" fillId="33" borderId="10" xfId="0" applyFont="1" applyFill="1" applyBorder="1" applyAlignment="1">
      <alignment vertical="center" wrapText="1"/>
    </xf>
    <xf numFmtId="49" fontId="2" fillId="33" borderId="10" xfId="0" applyNumberFormat="1" applyFont="1" applyFill="1" applyBorder="1" applyAlignment="1">
      <alignment vertical="center"/>
    </xf>
    <xf numFmtId="0" fontId="2" fillId="0" borderId="10" xfId="0" applyNumberFormat="1" applyFont="1" applyBorder="1" applyAlignment="1">
      <alignment vertical="top" wrapText="1"/>
    </xf>
    <xf numFmtId="0" fontId="55" fillId="0" borderId="10" xfId="0" applyFont="1" applyBorder="1" applyAlignment="1">
      <alignment vertical="top" wrapText="1"/>
    </xf>
    <xf numFmtId="14" fontId="2" fillId="0" borderId="10" xfId="0" applyNumberFormat="1" applyFont="1" applyFill="1" applyBorder="1" applyAlignment="1">
      <alignment vertical="top" wrapText="1"/>
    </xf>
    <xf numFmtId="0" fontId="2" fillId="0" borderId="10" xfId="0" applyNumberFormat="1" applyFont="1" applyFill="1" applyBorder="1" applyAlignment="1">
      <alignment vertical="top" wrapText="1"/>
    </xf>
    <xf numFmtId="0" fontId="2" fillId="34" borderId="10" xfId="0" applyFont="1" applyFill="1" applyBorder="1" applyAlignment="1">
      <alignment vertical="top" wrapText="1"/>
    </xf>
    <xf numFmtId="0" fontId="2" fillId="0" borderId="10" xfId="0" applyFont="1" applyFill="1" applyBorder="1" applyAlignment="1">
      <alignment vertical="center" wrapText="1"/>
    </xf>
    <xf numFmtId="0" fontId="55" fillId="0" borderId="10" xfId="0" applyFont="1" applyFill="1" applyBorder="1" applyAlignment="1">
      <alignment vertical="top" wrapText="1"/>
    </xf>
    <xf numFmtId="0" fontId="5" fillId="0" borderId="10" xfId="35" applyFont="1" applyBorder="1" applyAlignment="1">
      <alignment vertical="top" wrapText="1"/>
      <protection/>
    </xf>
    <xf numFmtId="0" fontId="2" fillId="0" borderId="10" xfId="0" applyFont="1" applyBorder="1" applyAlignment="1">
      <alignment vertical="top" wrapText="1"/>
    </xf>
    <xf numFmtId="14" fontId="2" fillId="0" borderId="10" xfId="0" applyNumberFormat="1" applyFont="1" applyBorder="1" applyAlignment="1">
      <alignment vertical="top" wrapText="1"/>
    </xf>
    <xf numFmtId="0" fontId="2" fillId="34" borderId="10" xfId="0" applyFont="1" applyFill="1" applyBorder="1" applyAlignment="1">
      <alignment vertical="top"/>
    </xf>
    <xf numFmtId="49" fontId="2" fillId="0" borderId="10" xfId="0" applyNumberFormat="1" applyFont="1" applyBorder="1" applyAlignment="1">
      <alignment vertical="top" wrapText="1"/>
    </xf>
    <xf numFmtId="0" fontId="2" fillId="0" borderId="10" xfId="0" applyFont="1" applyFill="1" applyBorder="1" applyAlignment="1">
      <alignment vertical="top" wrapText="1"/>
    </xf>
    <xf numFmtId="0" fontId="5" fillId="35" borderId="10" xfId="0" applyNumberFormat="1" applyFont="1" applyFill="1" applyBorder="1" applyAlignment="1" applyProtection="1">
      <alignment vertical="top" wrapText="1" shrinkToFit="1"/>
      <protection locked="0"/>
    </xf>
    <xf numFmtId="49" fontId="2" fillId="0" borderId="10" xfId="0" applyNumberFormat="1" applyFont="1" applyBorder="1" applyAlignment="1">
      <alignment vertical="top"/>
    </xf>
    <xf numFmtId="0" fontId="3" fillId="0" borderId="11" xfId="0" applyFont="1" applyFill="1" applyBorder="1" applyAlignment="1">
      <alignment vertical="center" wrapText="1"/>
    </xf>
    <xf numFmtId="0" fontId="4" fillId="0" borderId="11" xfId="0" applyFont="1" applyFill="1" applyBorder="1" applyAlignment="1">
      <alignment vertical="center" wrapText="1"/>
    </xf>
    <xf numFmtId="2" fontId="2" fillId="0" borderId="10" xfId="0" applyNumberFormat="1" applyFont="1" applyBorder="1" applyAlignment="1">
      <alignment horizontal="center" vertical="center" wrapText="1"/>
    </xf>
    <xf numFmtId="2" fontId="2" fillId="0" borderId="11" xfId="0" applyNumberFormat="1"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xf>
    <xf numFmtId="0" fontId="55" fillId="34" borderId="10" xfId="0" applyNumberFormat="1" applyFont="1" applyFill="1" applyBorder="1" applyAlignment="1" applyProtection="1">
      <alignment vertical="top" wrapText="1" shrinkToFit="1"/>
      <protection locked="0"/>
    </xf>
    <xf numFmtId="0" fontId="5" fillId="34" borderId="10" xfId="0" applyNumberFormat="1" applyFont="1" applyFill="1" applyBorder="1" applyAlignment="1" applyProtection="1">
      <alignment vertical="top" wrapText="1" shrinkToFit="1"/>
      <protection locked="0"/>
    </xf>
    <xf numFmtId="0" fontId="2" fillId="0" borderId="10" xfId="0" applyNumberFormat="1" applyFont="1" applyFill="1" applyBorder="1" applyAlignment="1" applyProtection="1">
      <alignment horizontal="left" vertical="top" wrapText="1" shrinkToFit="1"/>
      <protection locked="0"/>
    </xf>
    <xf numFmtId="0" fontId="2" fillId="0" borderId="10" xfId="0" applyFont="1" applyFill="1" applyBorder="1" applyAlignment="1">
      <alignment horizontal="center" vertical="center"/>
    </xf>
    <xf numFmtId="0" fontId="3"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0" xfId="0" applyFont="1" applyFill="1" applyAlignment="1">
      <alignment/>
    </xf>
    <xf numFmtId="0" fontId="2" fillId="0" borderId="10" xfId="0" applyNumberFormat="1" applyFont="1" applyFill="1" applyBorder="1" applyAlignment="1">
      <alignment vertical="center" wrapText="1"/>
    </xf>
    <xf numFmtId="0" fontId="5" fillId="0" borderId="10" xfId="0" applyNumberFormat="1" applyFont="1" applyFill="1" applyBorder="1" applyAlignment="1" applyProtection="1">
      <alignment vertical="top" wrapText="1" shrinkToFit="1"/>
      <protection locked="0"/>
    </xf>
    <xf numFmtId="0" fontId="2" fillId="0" borderId="0" xfId="0" applyFont="1" applyAlignment="1">
      <alignment horizontal="center" vertical="center"/>
    </xf>
    <xf numFmtId="169" fontId="2" fillId="0" borderId="10" xfId="0" applyNumberFormat="1" applyFont="1" applyBorder="1" applyAlignment="1">
      <alignment horizontal="center" vertical="center"/>
    </xf>
    <xf numFmtId="2" fontId="2" fillId="33" borderId="10" xfId="0" applyNumberFormat="1" applyFont="1" applyFill="1" applyBorder="1" applyAlignment="1">
      <alignment horizontal="center" vertical="center"/>
    </xf>
    <xf numFmtId="169" fontId="3" fillId="33"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xf>
    <xf numFmtId="2" fontId="2" fillId="33" borderId="12" xfId="0" applyNumberFormat="1" applyFont="1" applyFill="1" applyBorder="1" applyAlignment="1">
      <alignment horizontal="center" vertical="center"/>
    </xf>
    <xf numFmtId="169" fontId="3" fillId="33" borderId="12" xfId="0" applyNumberFormat="1" applyFont="1" applyFill="1" applyBorder="1" applyAlignment="1">
      <alignment horizontal="center" vertical="center"/>
    </xf>
    <xf numFmtId="2" fontId="2" fillId="0" borderId="11" xfId="0" applyNumberFormat="1" applyFont="1" applyBorder="1" applyAlignment="1">
      <alignment horizontal="center" vertical="center"/>
    </xf>
    <xf numFmtId="169" fontId="2" fillId="0" borderId="11" xfId="0" applyNumberFormat="1" applyFont="1" applyBorder="1" applyAlignment="1">
      <alignment horizontal="center" vertical="center"/>
    </xf>
    <xf numFmtId="2" fontId="2" fillId="33" borderId="11" xfId="0" applyNumberFormat="1" applyFont="1" applyFill="1" applyBorder="1" applyAlignment="1">
      <alignment horizontal="center" vertical="center"/>
    </xf>
    <xf numFmtId="169" fontId="3" fillId="33" borderId="11" xfId="0" applyNumberFormat="1" applyFont="1" applyFill="1" applyBorder="1" applyAlignment="1">
      <alignment horizontal="center" vertical="center"/>
    </xf>
    <xf numFmtId="169" fontId="2" fillId="33" borderId="11" xfId="0" applyNumberFormat="1" applyFont="1" applyFill="1" applyBorder="1" applyAlignment="1">
      <alignment horizontal="center" vertical="center"/>
    </xf>
    <xf numFmtId="0" fontId="2" fillId="34" borderId="13" xfId="0" applyFont="1" applyFill="1" applyBorder="1" applyAlignment="1">
      <alignment vertical="top" wrapText="1"/>
    </xf>
    <xf numFmtId="0" fontId="55" fillId="34" borderId="10" xfId="0" applyNumberFormat="1" applyFont="1" applyFill="1" applyBorder="1" applyAlignment="1">
      <alignment vertical="top" wrapText="1"/>
    </xf>
    <xf numFmtId="0" fontId="2" fillId="34" borderId="10" xfId="0" applyNumberFormat="1" applyFont="1" applyFill="1" applyBorder="1" applyAlignment="1">
      <alignment vertical="top" wrapText="1"/>
    </xf>
    <xf numFmtId="0" fontId="2" fillId="0" borderId="10" xfId="0" applyFont="1" applyBorder="1" applyAlignment="1">
      <alignment vertical="top"/>
    </xf>
    <xf numFmtId="0" fontId="2" fillId="33" borderId="10" xfId="0" applyFont="1" applyFill="1" applyBorder="1" applyAlignment="1">
      <alignment vertical="top" wrapText="1"/>
    </xf>
    <xf numFmtId="49" fontId="2" fillId="33" borderId="10" xfId="0" applyNumberFormat="1" applyFont="1" applyFill="1" applyBorder="1" applyAlignment="1">
      <alignment vertical="top"/>
    </xf>
    <xf numFmtId="0" fontId="2" fillId="0" borderId="10" xfId="0" applyNumberFormat="1" applyFont="1" applyFill="1" applyBorder="1" applyAlignment="1" applyProtection="1">
      <alignment vertical="top" wrapText="1" shrinkToFit="1"/>
      <protection locked="0"/>
    </xf>
    <xf numFmtId="1" fontId="2" fillId="0" borderId="13"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13" xfId="0" applyNumberFormat="1" applyFont="1" applyFill="1" applyBorder="1" applyAlignment="1">
      <alignment horizontal="left" vertical="center"/>
    </xf>
    <xf numFmtId="1" fontId="2" fillId="0" borderId="13" xfId="0" applyNumberFormat="1" applyFont="1" applyFill="1" applyBorder="1" applyAlignment="1">
      <alignment horizontal="left" vertical="center"/>
    </xf>
    <xf numFmtId="49" fontId="2" fillId="33" borderId="13" xfId="0" applyNumberFormat="1" applyFont="1" applyFill="1" applyBorder="1" applyAlignment="1">
      <alignment vertical="center"/>
    </xf>
    <xf numFmtId="0" fontId="2" fillId="33" borderId="13" xfId="0" applyNumberFormat="1" applyFont="1" applyFill="1" applyBorder="1" applyAlignment="1">
      <alignment horizontal="left" vertical="center"/>
    </xf>
    <xf numFmtId="0" fontId="2" fillId="33" borderId="14" xfId="0" applyNumberFormat="1" applyFont="1" applyFill="1" applyBorder="1" applyAlignment="1">
      <alignment horizontal="left" vertical="center"/>
    </xf>
    <xf numFmtId="0" fontId="2" fillId="0" borderId="15" xfId="0" applyNumberFormat="1" applyFont="1" applyBorder="1" applyAlignment="1">
      <alignment horizontal="left" vertical="center"/>
    </xf>
    <xf numFmtId="0" fontId="2" fillId="33" borderId="15" xfId="0" applyNumberFormat="1" applyFont="1" applyFill="1" applyBorder="1" applyAlignment="1">
      <alignment horizontal="left" vertical="center"/>
    </xf>
    <xf numFmtId="1" fontId="2" fillId="0" borderId="15" xfId="0" applyNumberFormat="1" applyFont="1" applyBorder="1" applyAlignment="1">
      <alignment horizontal="left" vertical="center"/>
    </xf>
    <xf numFmtId="0" fontId="2" fillId="0" borderId="15" xfId="0" applyNumberFormat="1" applyFont="1" applyFill="1" applyBorder="1" applyAlignment="1">
      <alignment horizontal="left" vertical="center"/>
    </xf>
    <xf numFmtId="0" fontId="2" fillId="0" borderId="16" xfId="0" applyFont="1" applyBorder="1" applyAlignment="1">
      <alignment vertical="top" wrapText="1"/>
    </xf>
    <xf numFmtId="0" fontId="56" fillId="0" borderId="10" xfId="33" applyNumberFormat="1" applyFont="1" applyFill="1" applyBorder="1" applyAlignment="1">
      <alignment vertical="top" wrapText="1"/>
      <protection/>
    </xf>
    <xf numFmtId="49" fontId="2" fillId="33" borderId="17" xfId="0" applyNumberFormat="1" applyFont="1" applyFill="1" applyBorder="1" applyAlignment="1">
      <alignment vertical="top"/>
    </xf>
    <xf numFmtId="0" fontId="2" fillId="0" borderId="16" xfId="0" applyFont="1" applyBorder="1" applyAlignment="1">
      <alignment vertical="top"/>
    </xf>
    <xf numFmtId="0" fontId="2" fillId="0" borderId="17" xfId="0" applyFont="1" applyBorder="1" applyAlignment="1">
      <alignment vertical="top"/>
    </xf>
    <xf numFmtId="49" fontId="2" fillId="0" borderId="10" xfId="0" applyNumberFormat="1" applyFont="1" applyFill="1" applyBorder="1" applyAlignment="1">
      <alignment vertical="top" wrapText="1"/>
    </xf>
    <xf numFmtId="0" fontId="2" fillId="0" borderId="13" xfId="0" applyFont="1" applyBorder="1" applyAlignment="1">
      <alignment vertical="top"/>
    </xf>
    <xf numFmtId="0" fontId="2" fillId="0" borderId="18" xfId="0" applyFont="1" applyBorder="1" applyAlignment="1">
      <alignment vertical="top"/>
    </xf>
    <xf numFmtId="49" fontId="2" fillId="0" borderId="18" xfId="0" applyNumberFormat="1" applyFont="1" applyBorder="1" applyAlignment="1">
      <alignment vertical="top"/>
    </xf>
    <xf numFmtId="0" fontId="2" fillId="0" borderId="13" xfId="0" applyNumberFormat="1" applyFont="1" applyBorder="1" applyAlignment="1">
      <alignment vertical="top" wrapText="1"/>
    </xf>
    <xf numFmtId="0" fontId="2" fillId="0" borderId="18" xfId="0" applyNumberFormat="1" applyFont="1" applyBorder="1" applyAlignment="1">
      <alignment vertical="top" wrapText="1"/>
    </xf>
    <xf numFmtId="0" fontId="2" fillId="0" borderId="17" xfId="0" applyNumberFormat="1" applyFont="1" applyFill="1" applyBorder="1" applyAlignment="1" applyProtection="1">
      <alignment vertical="top" wrapText="1" shrinkToFit="1"/>
      <protection locked="0"/>
    </xf>
    <xf numFmtId="0" fontId="2" fillId="0" borderId="10" xfId="0" applyNumberFormat="1" applyFont="1" applyFill="1" applyBorder="1" applyAlignment="1" applyProtection="1">
      <alignment vertical="center" wrapText="1" shrinkToFit="1"/>
      <protection locked="0"/>
    </xf>
    <xf numFmtId="0" fontId="2" fillId="0" borderId="17" xfId="0" applyNumberFormat="1" applyFont="1" applyBorder="1" applyAlignment="1">
      <alignment vertical="top" wrapText="1"/>
    </xf>
    <xf numFmtId="0" fontId="2" fillId="34" borderId="18" xfId="0" applyFont="1" applyFill="1" applyBorder="1" applyAlignment="1">
      <alignment vertical="top" wrapText="1"/>
    </xf>
    <xf numFmtId="0" fontId="2" fillId="0" borderId="10" xfId="0" applyNumberFormat="1" applyFont="1" applyFill="1" applyBorder="1" applyAlignment="1" applyProtection="1">
      <alignment horizontal="left" vertical="center" wrapText="1" shrinkToFit="1"/>
      <protection locked="0"/>
    </xf>
    <xf numFmtId="0" fontId="2" fillId="0" borderId="10" xfId="0" applyFont="1" applyBorder="1" applyAlignment="1">
      <alignment horizontal="left" vertical="top" wrapText="1"/>
    </xf>
    <xf numFmtId="0" fontId="2" fillId="0" borderId="10" xfId="0" applyFont="1" applyFill="1" applyBorder="1" applyAlignment="1">
      <alignment horizontal="left" vertical="top" wrapText="1"/>
    </xf>
    <xf numFmtId="0" fontId="55" fillId="0" borderId="10" xfId="0" applyFont="1" applyFill="1" applyBorder="1" applyAlignment="1">
      <alignment horizontal="left" vertical="top" wrapText="1"/>
    </xf>
    <xf numFmtId="0" fontId="2" fillId="0" borderId="10" xfId="0" applyNumberFormat="1" applyFont="1" applyFill="1" applyBorder="1" applyAlignment="1">
      <alignment horizontal="left" vertical="top" wrapText="1"/>
    </xf>
    <xf numFmtId="172" fontId="2" fillId="0" borderId="10" xfId="0" applyNumberFormat="1" applyFont="1" applyBorder="1" applyAlignment="1">
      <alignment vertical="top" wrapText="1"/>
    </xf>
    <xf numFmtId="49" fontId="3"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69" fontId="2" fillId="0" borderId="10" xfId="64" applyNumberFormat="1" applyFont="1" applyBorder="1" applyAlignment="1">
      <alignment horizontal="center" vertical="center" wrapText="1"/>
    </xf>
    <xf numFmtId="169" fontId="2" fillId="0" borderId="10" xfId="64" applyNumberFormat="1" applyFont="1" applyBorder="1" applyAlignment="1">
      <alignment horizontal="center" vertical="center"/>
    </xf>
    <xf numFmtId="169" fontId="2" fillId="0" borderId="10" xfId="0" applyNumberFormat="1" applyFont="1" applyBorder="1" applyAlignment="1">
      <alignment horizontal="center" vertical="center" wrapText="1"/>
    </xf>
    <xf numFmtId="0" fontId="2" fillId="34" borderId="10" xfId="0" applyNumberFormat="1" applyFont="1" applyFill="1" applyBorder="1" applyAlignment="1" applyProtection="1">
      <alignment horizontal="left" vertical="top" wrapText="1" shrinkToFit="1"/>
      <protection locked="0"/>
    </xf>
    <xf numFmtId="0" fontId="2" fillId="34" borderId="10" xfId="0" applyNumberFormat="1" applyFont="1" applyFill="1" applyBorder="1" applyAlignment="1">
      <alignment horizontal="left" vertical="top" wrapText="1"/>
    </xf>
    <xf numFmtId="49" fontId="2" fillId="0" borderId="19" xfId="0" applyNumberFormat="1" applyFont="1" applyBorder="1" applyAlignment="1">
      <alignment horizontal="center" vertical="center" wrapText="1"/>
    </xf>
    <xf numFmtId="49" fontId="2" fillId="33" borderId="16" xfId="0" applyNumberFormat="1" applyFont="1" applyFill="1" applyBorder="1" applyAlignment="1">
      <alignment horizontal="center" vertical="center" wrapText="1"/>
    </xf>
    <xf numFmtId="169" fontId="3" fillId="33" borderId="10" xfId="64" applyNumberFormat="1" applyFont="1" applyFill="1" applyBorder="1" applyAlignment="1">
      <alignment horizontal="center" vertical="center"/>
    </xf>
    <xf numFmtId="0" fontId="4" fillId="0" borderId="13" xfId="0" applyNumberFormat="1" applyFont="1" applyBorder="1" applyAlignment="1">
      <alignment horizontal="left" vertical="center"/>
    </xf>
    <xf numFmtId="0" fontId="7" fillId="0" borderId="10" xfId="0" applyNumberFormat="1" applyFont="1" applyFill="1" applyBorder="1" applyAlignment="1" applyProtection="1">
      <alignment vertical="top" wrapText="1" shrinkToFit="1"/>
      <protection locked="0"/>
    </xf>
    <xf numFmtId="0" fontId="4" fillId="0" borderId="17" xfId="0" applyNumberFormat="1" applyFont="1" applyFill="1" applyBorder="1" applyAlignment="1" applyProtection="1">
      <alignment vertical="top" wrapText="1" shrinkToFit="1"/>
      <protection locked="0"/>
    </xf>
    <xf numFmtId="49" fontId="4" fillId="0" borderId="16"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169" fontId="4" fillId="0" borderId="10" xfId="0" applyNumberFormat="1" applyFont="1" applyBorder="1" applyAlignment="1">
      <alignment horizontal="center" vertical="center"/>
    </xf>
    <xf numFmtId="169" fontId="4" fillId="0" borderId="10" xfId="64" applyNumberFormat="1" applyFont="1" applyBorder="1" applyAlignment="1">
      <alignment horizontal="center" vertical="center"/>
    </xf>
    <xf numFmtId="0" fontId="4" fillId="0" borderId="0" xfId="0" applyFont="1" applyAlignment="1">
      <alignment/>
    </xf>
    <xf numFmtId="0" fontId="4" fillId="0" borderId="10" xfId="0" applyFont="1" applyBorder="1" applyAlignment="1">
      <alignment vertical="top" wrapText="1"/>
    </xf>
    <xf numFmtId="49" fontId="4" fillId="0" borderId="10" xfId="0" applyNumberFormat="1" applyFont="1" applyBorder="1" applyAlignment="1">
      <alignment vertical="top" wrapText="1"/>
    </xf>
    <xf numFmtId="49" fontId="4" fillId="0" borderId="10" xfId="0" applyNumberFormat="1" applyFont="1" applyBorder="1" applyAlignment="1">
      <alignment vertical="top"/>
    </xf>
    <xf numFmtId="0" fontId="5" fillId="0" borderId="10" xfId="0" applyNumberFormat="1" applyFont="1" applyFill="1" applyBorder="1" applyAlignment="1" applyProtection="1">
      <alignment horizontal="left" vertical="top" wrapText="1" shrinkToFit="1"/>
      <protection locked="0"/>
    </xf>
    <xf numFmtId="0" fontId="5" fillId="35" borderId="16" xfId="0" applyNumberFormat="1" applyFont="1" applyFill="1" applyBorder="1" applyAlignment="1" applyProtection="1">
      <alignment horizontal="center" vertical="center" wrapText="1" shrinkToFit="1"/>
      <protection locked="0"/>
    </xf>
    <xf numFmtId="0" fontId="2" fillId="0" borderId="16" xfId="0" applyFont="1" applyBorder="1" applyAlignment="1">
      <alignment horizontal="center" vertical="center" wrapText="1"/>
    </xf>
    <xf numFmtId="49" fontId="2" fillId="33" borderId="20"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Fill="1" applyAlignment="1">
      <alignment/>
    </xf>
    <xf numFmtId="0" fontId="6" fillId="0" borderId="0" xfId="0" applyFont="1" applyAlignment="1">
      <alignment/>
    </xf>
    <xf numFmtId="0" fontId="6" fillId="0" borderId="0" xfId="0" applyFont="1" applyAlignment="1">
      <alignment horizontal="center" vertical="center" wrapText="1"/>
    </xf>
    <xf numFmtId="0" fontId="6"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xf>
    <xf numFmtId="0" fontId="10" fillId="0" borderId="10" xfId="0" applyFont="1" applyBorder="1" applyAlignment="1">
      <alignment horizontal="center" vertical="top"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0" fontId="10" fillId="0" borderId="0" xfId="0" applyFont="1" applyAlignment="1">
      <alignment horizontal="center"/>
    </xf>
    <xf numFmtId="0" fontId="9" fillId="0" borderId="10" xfId="0" applyFont="1" applyFill="1" applyBorder="1" applyAlignment="1">
      <alignment vertical="center" wrapText="1"/>
    </xf>
    <xf numFmtId="49" fontId="9" fillId="33" borderId="10" xfId="0" applyNumberFormat="1" applyFont="1" applyFill="1" applyBorder="1" applyAlignment="1">
      <alignment vertical="center"/>
    </xf>
    <xf numFmtId="0" fontId="9" fillId="33" borderId="10" xfId="0" applyFont="1" applyFill="1" applyBorder="1" applyAlignment="1">
      <alignment vertical="center" wrapText="1"/>
    </xf>
    <xf numFmtId="49" fontId="9" fillId="33" borderId="10" xfId="0" applyNumberFormat="1" applyFont="1" applyFill="1" applyBorder="1" applyAlignment="1">
      <alignment horizontal="center" vertical="center" wrapText="1"/>
    </xf>
    <xf numFmtId="169" fontId="9" fillId="33"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1" fontId="10" fillId="33" borderId="10" xfId="0" applyNumberFormat="1" applyFont="1" applyFill="1" applyBorder="1" applyAlignment="1">
      <alignment vertical="center"/>
    </xf>
    <xf numFmtId="0" fontId="10" fillId="33" borderId="10" xfId="0" applyFont="1" applyFill="1" applyBorder="1" applyAlignment="1">
      <alignment vertical="center" wrapText="1"/>
    </xf>
    <xf numFmtId="49" fontId="10" fillId="33" borderId="10" xfId="0" applyNumberFormat="1" applyFont="1" applyFill="1" applyBorder="1" applyAlignment="1">
      <alignment vertical="center"/>
    </xf>
    <xf numFmtId="49" fontId="10" fillId="33" borderId="10" xfId="0" applyNumberFormat="1" applyFont="1" applyFill="1" applyBorder="1" applyAlignment="1">
      <alignment horizontal="center" vertical="center" wrapText="1"/>
    </xf>
    <xf numFmtId="0" fontId="10" fillId="0" borderId="10" xfId="0" applyFont="1" applyFill="1" applyBorder="1" applyAlignment="1">
      <alignment vertical="center" wrapText="1"/>
    </xf>
    <xf numFmtId="1" fontId="10" fillId="0" borderId="13" xfId="0" applyNumberFormat="1" applyFont="1" applyBorder="1" applyAlignment="1">
      <alignment horizontal="left" vertical="center"/>
    </xf>
    <xf numFmtId="0" fontId="10" fillId="0" borderId="10" xfId="0" applyNumberFormat="1" applyFont="1" applyBorder="1" applyAlignment="1">
      <alignment vertical="top" wrapText="1"/>
    </xf>
    <xf numFmtId="0" fontId="12" fillId="0" borderId="10" xfId="0" applyNumberFormat="1" applyFont="1" applyFill="1" applyBorder="1" applyAlignment="1" applyProtection="1">
      <alignment vertical="top" wrapText="1" shrinkToFit="1"/>
      <protection locked="0"/>
    </xf>
    <xf numFmtId="0" fontId="10" fillId="0" borderId="17" xfId="0" applyNumberFormat="1" applyFont="1" applyFill="1" applyBorder="1" applyAlignment="1" applyProtection="1">
      <alignment vertical="top" wrapText="1" shrinkToFit="1"/>
      <protection locked="0"/>
    </xf>
    <xf numFmtId="49" fontId="10" fillId="0" borderId="16"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169" fontId="10" fillId="0" borderId="10" xfId="64" applyNumberFormat="1" applyFont="1" applyBorder="1" applyAlignment="1">
      <alignment horizontal="center" vertical="center" wrapText="1"/>
    </xf>
    <xf numFmtId="169" fontId="10" fillId="0" borderId="10" xfId="0" applyNumberFormat="1" applyFont="1" applyBorder="1" applyAlignment="1">
      <alignment horizontal="center" vertical="center"/>
    </xf>
    <xf numFmtId="169" fontId="10" fillId="0" borderId="10" xfId="64" applyNumberFormat="1" applyFont="1" applyBorder="1" applyAlignment="1">
      <alignment horizontal="center" vertical="center"/>
    </xf>
    <xf numFmtId="0" fontId="10" fillId="0" borderId="13" xfId="0" applyNumberFormat="1" applyFont="1" applyBorder="1" applyAlignment="1">
      <alignment horizontal="left" vertical="center"/>
    </xf>
    <xf numFmtId="169" fontId="10" fillId="0" borderId="10" xfId="0" applyNumberFormat="1" applyFont="1" applyBorder="1" applyAlignment="1">
      <alignment horizontal="center" vertical="center" wrapText="1"/>
    </xf>
    <xf numFmtId="0" fontId="57" fillId="0" borderId="10" xfId="0" applyFont="1" applyBorder="1" applyAlignment="1">
      <alignment vertical="top" wrapText="1"/>
    </xf>
    <xf numFmtId="14" fontId="10" fillId="0" borderId="10" xfId="0" applyNumberFormat="1" applyFont="1" applyFill="1" applyBorder="1" applyAlignment="1">
      <alignment vertical="top" wrapText="1"/>
    </xf>
    <xf numFmtId="0" fontId="10" fillId="0" borderId="10" xfId="0" applyNumberFormat="1" applyFont="1" applyFill="1" applyBorder="1" applyAlignment="1">
      <alignment vertical="top" wrapText="1"/>
    </xf>
    <xf numFmtId="0" fontId="10" fillId="0" borderId="13" xfId="0" applyNumberFormat="1" applyFont="1" applyBorder="1" applyAlignment="1">
      <alignment vertical="top" wrapText="1"/>
    </xf>
    <xf numFmtId="0" fontId="10" fillId="0" borderId="10" xfId="0" applyNumberFormat="1" applyFont="1" applyFill="1" applyBorder="1" applyAlignment="1" applyProtection="1">
      <alignment horizontal="left" vertical="top" wrapText="1" shrinkToFit="1"/>
      <protection locked="0"/>
    </xf>
    <xf numFmtId="0" fontId="10" fillId="0" borderId="17" xfId="0" applyNumberFormat="1" applyFont="1" applyFill="1" applyBorder="1" applyAlignment="1" applyProtection="1">
      <alignment horizontal="left" vertical="top" wrapText="1" shrinkToFit="1"/>
      <protection locked="0"/>
    </xf>
    <xf numFmtId="0" fontId="10" fillId="0" borderId="10" xfId="0" applyNumberFormat="1" applyFont="1" applyFill="1" applyBorder="1" applyAlignment="1" applyProtection="1">
      <alignment vertical="top" wrapText="1" shrinkToFit="1"/>
      <protection locked="0"/>
    </xf>
    <xf numFmtId="0" fontId="10" fillId="0" borderId="10" xfId="0" applyNumberFormat="1" applyFont="1" applyFill="1" applyBorder="1" applyAlignment="1" applyProtection="1">
      <alignment vertical="center" wrapText="1" shrinkToFit="1"/>
      <protection locked="0"/>
    </xf>
    <xf numFmtId="0" fontId="10" fillId="34" borderId="10" xfId="0" applyNumberFormat="1" applyFont="1" applyFill="1" applyBorder="1" applyAlignment="1" applyProtection="1">
      <alignment horizontal="left" vertical="top" wrapText="1" shrinkToFit="1"/>
      <protection locked="0"/>
    </xf>
    <xf numFmtId="0" fontId="10" fillId="34" borderId="10"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10" fillId="0" borderId="18" xfId="0" applyNumberFormat="1" applyFont="1" applyBorder="1" applyAlignment="1">
      <alignment vertical="top" wrapText="1"/>
    </xf>
    <xf numFmtId="0" fontId="10" fillId="0" borderId="17" xfId="0" applyNumberFormat="1" applyFont="1" applyBorder="1" applyAlignment="1">
      <alignment vertical="top" wrapText="1"/>
    </xf>
    <xf numFmtId="0" fontId="10" fillId="34" borderId="10" xfId="0" applyFont="1" applyFill="1" applyBorder="1" applyAlignment="1">
      <alignment vertical="top" wrapText="1"/>
    </xf>
    <xf numFmtId="0" fontId="10" fillId="34" borderId="18" xfId="0" applyFont="1" applyFill="1" applyBorder="1" applyAlignment="1">
      <alignment vertical="top" wrapText="1"/>
    </xf>
    <xf numFmtId="0" fontId="10" fillId="34" borderId="17" xfId="0" applyNumberFormat="1" applyFont="1" applyFill="1" applyBorder="1" applyAlignment="1">
      <alignment vertical="top" wrapText="1"/>
    </xf>
    <xf numFmtId="0" fontId="10" fillId="34" borderId="17" xfId="0" applyFont="1" applyFill="1" applyBorder="1" applyAlignment="1">
      <alignment vertical="top" wrapText="1"/>
    </xf>
    <xf numFmtId="0" fontId="10" fillId="34" borderId="13" xfId="0" applyFont="1" applyFill="1" applyBorder="1" applyAlignment="1">
      <alignment vertical="top" wrapText="1"/>
    </xf>
    <xf numFmtId="0" fontId="12" fillId="34" borderId="17" xfId="36" applyFont="1" applyFill="1" applyBorder="1" applyAlignment="1">
      <alignment horizontal="left" vertical="top" wrapText="1"/>
      <protection/>
    </xf>
    <xf numFmtId="0" fontId="10" fillId="34" borderId="17" xfId="0" applyFont="1" applyFill="1" applyBorder="1" applyAlignment="1">
      <alignment horizontal="left" vertical="top" wrapText="1"/>
    </xf>
    <xf numFmtId="17" fontId="10" fillId="34" borderId="17" xfId="0" applyNumberFormat="1" applyFont="1" applyFill="1" applyBorder="1" applyAlignment="1">
      <alignment horizontal="left" vertical="top" wrapText="1"/>
    </xf>
    <xf numFmtId="0" fontId="12" fillId="34" borderId="10" xfId="36" applyFont="1" applyFill="1" applyBorder="1" applyAlignment="1">
      <alignment horizontal="left" vertical="top" wrapText="1"/>
      <protection/>
    </xf>
    <xf numFmtId="0" fontId="10" fillId="34" borderId="10" xfId="0" applyFont="1" applyFill="1" applyBorder="1" applyAlignment="1">
      <alignment horizontal="left" vertical="top" wrapText="1"/>
    </xf>
    <xf numFmtId="17" fontId="10" fillId="34" borderId="10" xfId="0" applyNumberFormat="1" applyFont="1" applyFill="1" applyBorder="1" applyAlignment="1">
      <alignment horizontal="left" vertical="top" wrapText="1"/>
    </xf>
    <xf numFmtId="0" fontId="12" fillId="34" borderId="18" xfId="36" applyFont="1" applyFill="1" applyBorder="1" applyAlignment="1">
      <alignment horizontal="left" vertical="top" wrapText="1"/>
      <protection/>
    </xf>
    <xf numFmtId="0" fontId="10" fillId="34" borderId="18" xfId="0" applyFont="1" applyFill="1" applyBorder="1" applyAlignment="1">
      <alignment horizontal="left" vertical="top" wrapText="1"/>
    </xf>
    <xf numFmtId="17" fontId="10" fillId="34" borderId="18" xfId="0" applyNumberFormat="1" applyFont="1" applyFill="1" applyBorder="1" applyAlignment="1">
      <alignment horizontal="left" vertical="top" wrapText="1"/>
    </xf>
    <xf numFmtId="0" fontId="10" fillId="0" borderId="10" xfId="0" applyFont="1" applyBorder="1" applyAlignment="1">
      <alignment horizontal="left" vertical="top" wrapText="1"/>
    </xf>
    <xf numFmtId="0" fontId="57" fillId="34" borderId="10" xfId="0" applyNumberFormat="1" applyFont="1" applyFill="1" applyBorder="1" applyAlignment="1">
      <alignment vertical="top" wrapText="1"/>
    </xf>
    <xf numFmtId="0" fontId="10" fillId="34" borderId="10" xfId="0" applyNumberFormat="1" applyFont="1" applyFill="1" applyBorder="1" applyAlignment="1">
      <alignment vertical="top" wrapText="1"/>
    </xf>
    <xf numFmtId="49" fontId="10" fillId="0" borderId="19" xfId="0" applyNumberFormat="1" applyFont="1" applyBorder="1" applyAlignment="1">
      <alignment horizontal="center" vertical="center" wrapText="1"/>
    </xf>
    <xf numFmtId="0" fontId="10" fillId="34" borderId="10" xfId="0" applyFont="1" applyFill="1" applyBorder="1" applyAlignment="1">
      <alignment vertical="top"/>
    </xf>
    <xf numFmtId="0" fontId="10" fillId="0" borderId="16" xfId="0" applyFont="1" applyBorder="1" applyAlignment="1">
      <alignment vertical="top" wrapText="1"/>
    </xf>
    <xf numFmtId="0" fontId="10" fillId="34" borderId="10" xfId="0" applyFont="1" applyFill="1" applyBorder="1" applyAlignment="1" quotePrefix="1">
      <alignment vertical="top" wrapText="1"/>
    </xf>
    <xf numFmtId="0" fontId="10" fillId="0" borderId="13" xfId="0" applyNumberFormat="1" applyFont="1" applyFill="1" applyBorder="1" applyAlignment="1">
      <alignment horizontal="left" vertical="center"/>
    </xf>
    <xf numFmtId="0" fontId="57" fillId="0" borderId="10" xfId="0" applyFont="1" applyFill="1" applyBorder="1" applyAlignment="1">
      <alignment vertical="top" wrapText="1"/>
    </xf>
    <xf numFmtId="0" fontId="10" fillId="0" borderId="10" xfId="0" applyFont="1" applyFill="1" applyBorder="1" applyAlignment="1">
      <alignment horizontal="left" vertical="top" wrapText="1"/>
    </xf>
    <xf numFmtId="0" fontId="57" fillId="0" borderId="10" xfId="0" applyFont="1" applyFill="1" applyBorder="1" applyAlignment="1">
      <alignment horizontal="left" vertical="top" wrapText="1"/>
    </xf>
    <xf numFmtId="49" fontId="10" fillId="0" borderId="0" xfId="0" applyNumberFormat="1" applyFont="1" applyBorder="1" applyAlignment="1">
      <alignment horizontal="center" vertical="center" wrapText="1"/>
    </xf>
    <xf numFmtId="0" fontId="12" fillId="0" borderId="10" xfId="0" applyNumberFormat="1" applyFont="1" applyFill="1" applyBorder="1" applyAlignment="1" applyProtection="1">
      <alignment horizontal="left" vertical="center" wrapText="1" shrinkToFit="1"/>
      <protection locked="0"/>
    </xf>
    <xf numFmtId="0" fontId="12" fillId="0" borderId="10" xfId="0" applyFont="1" applyFill="1" applyBorder="1" applyAlignment="1" applyProtection="1">
      <alignment horizontal="left" vertical="center" wrapText="1" shrinkToFit="1"/>
      <protection locked="0"/>
    </xf>
    <xf numFmtId="1" fontId="10" fillId="0" borderId="13" xfId="0" applyNumberFormat="1" applyFont="1" applyFill="1" applyBorder="1" applyAlignment="1">
      <alignment horizontal="left" vertical="center"/>
    </xf>
    <xf numFmtId="0" fontId="10" fillId="0" borderId="10" xfId="0" applyFont="1" applyBorder="1" applyAlignment="1">
      <alignment vertical="top" wrapText="1"/>
    </xf>
    <xf numFmtId="0" fontId="12" fillId="0" borderId="10" xfId="35" applyFont="1" applyBorder="1" applyAlignment="1">
      <alignment vertical="top" wrapText="1"/>
      <protection/>
    </xf>
    <xf numFmtId="14" fontId="10" fillId="0" borderId="10" xfId="0" applyNumberFormat="1" applyFont="1" applyBorder="1" applyAlignment="1">
      <alignment vertical="top" wrapText="1"/>
    </xf>
    <xf numFmtId="0" fontId="10" fillId="0" borderId="10" xfId="34" applyFont="1" applyBorder="1" applyAlignment="1">
      <alignment vertical="top" wrapText="1"/>
      <protection/>
    </xf>
    <xf numFmtId="0" fontId="10" fillId="0" borderId="10" xfId="0" applyFont="1" applyBorder="1" applyAlignment="1">
      <alignment/>
    </xf>
    <xf numFmtId="0" fontId="10" fillId="0" borderId="10" xfId="0" applyNumberFormat="1" applyFont="1" applyFill="1" applyBorder="1" applyAlignment="1" applyProtection="1">
      <alignment horizontal="left" vertical="center" wrapText="1" shrinkToFit="1"/>
      <protection locked="0"/>
    </xf>
    <xf numFmtId="0" fontId="10" fillId="0" borderId="10" xfId="0" applyFont="1" applyBorder="1" applyAlignment="1">
      <alignment vertical="top"/>
    </xf>
    <xf numFmtId="49" fontId="10" fillId="33" borderId="13" xfId="0" applyNumberFormat="1" applyFont="1" applyFill="1" applyBorder="1" applyAlignment="1">
      <alignment vertical="center"/>
    </xf>
    <xf numFmtId="0" fontId="10" fillId="33" borderId="10" xfId="0" applyFont="1" applyFill="1" applyBorder="1" applyAlignment="1">
      <alignment vertical="top" wrapText="1"/>
    </xf>
    <xf numFmtId="49" fontId="10" fillId="33" borderId="10" xfId="0" applyNumberFormat="1" applyFont="1" applyFill="1" applyBorder="1" applyAlignment="1">
      <alignment vertical="top"/>
    </xf>
    <xf numFmtId="49" fontId="10" fillId="33" borderId="16" xfId="0" applyNumberFormat="1" applyFont="1" applyFill="1" applyBorder="1" applyAlignment="1">
      <alignment horizontal="center" vertical="center" wrapText="1"/>
    </xf>
    <xf numFmtId="169" fontId="9" fillId="33" borderId="10" xfId="64" applyNumberFormat="1" applyFont="1" applyFill="1" applyBorder="1" applyAlignment="1">
      <alignment horizontal="center" vertical="center"/>
    </xf>
    <xf numFmtId="0" fontId="10" fillId="0" borderId="17" xfId="0" applyFont="1" applyBorder="1" applyAlignment="1">
      <alignment vertical="top"/>
    </xf>
    <xf numFmtId="0" fontId="10" fillId="0" borderId="13" xfId="0" applyFont="1" applyBorder="1" applyAlignment="1">
      <alignment vertical="top"/>
    </xf>
    <xf numFmtId="49" fontId="10" fillId="0" borderId="10" xfId="0" applyNumberFormat="1" applyFont="1" applyBorder="1" applyAlignment="1">
      <alignment vertical="top"/>
    </xf>
    <xf numFmtId="0" fontId="10" fillId="33" borderId="13" xfId="0" applyNumberFormat="1" applyFont="1" applyFill="1" applyBorder="1" applyAlignment="1">
      <alignment horizontal="left" vertical="center"/>
    </xf>
    <xf numFmtId="49" fontId="10" fillId="33" borderId="17" xfId="0" applyNumberFormat="1" applyFont="1" applyFill="1" applyBorder="1" applyAlignment="1">
      <alignment vertical="top"/>
    </xf>
    <xf numFmtId="0" fontId="10" fillId="0" borderId="10" xfId="0" applyFont="1" applyFill="1" applyBorder="1" applyAlignment="1">
      <alignment vertical="top" wrapText="1"/>
    </xf>
    <xf numFmtId="49" fontId="10" fillId="0" borderId="10" xfId="0" applyNumberFormat="1" applyFont="1" applyFill="1" applyBorder="1" applyAlignment="1">
      <alignment vertical="top" wrapText="1"/>
    </xf>
    <xf numFmtId="0" fontId="10" fillId="0" borderId="16" xfId="0" applyFont="1" applyBorder="1" applyAlignment="1">
      <alignment vertical="top"/>
    </xf>
    <xf numFmtId="0" fontId="10" fillId="0" borderId="18" xfId="0" applyFont="1" applyBorder="1" applyAlignment="1">
      <alignment vertical="top"/>
    </xf>
    <xf numFmtId="0" fontId="57" fillId="34" borderId="10" xfId="0" applyNumberFormat="1" applyFont="1" applyFill="1" applyBorder="1" applyAlignment="1" applyProtection="1">
      <alignment vertical="top" wrapText="1" shrinkToFit="1"/>
      <protection locked="0"/>
    </xf>
    <xf numFmtId="0" fontId="12" fillId="34" borderId="10" xfId="0" applyNumberFormat="1" applyFont="1" applyFill="1" applyBorder="1" applyAlignment="1" applyProtection="1">
      <alignment vertical="top" wrapText="1" shrinkToFit="1"/>
      <protection locked="0"/>
    </xf>
    <xf numFmtId="0" fontId="10" fillId="0" borderId="10" xfId="0" applyNumberFormat="1" applyFont="1" applyFill="1" applyBorder="1" applyAlignment="1">
      <alignment vertical="center" wrapText="1"/>
    </xf>
    <xf numFmtId="0" fontId="12" fillId="34" borderId="17" xfId="0" applyNumberFormat="1" applyFont="1" applyFill="1" applyBorder="1" applyAlignment="1" applyProtection="1">
      <alignment vertical="top" wrapText="1" shrinkToFit="1"/>
      <protection locked="0"/>
    </xf>
    <xf numFmtId="0" fontId="13" fillId="0" borderId="10" xfId="0" applyNumberFormat="1" applyFont="1" applyFill="1" applyBorder="1" applyAlignment="1" applyProtection="1">
      <alignment vertical="top" wrapText="1" shrinkToFit="1"/>
      <protection locked="0"/>
    </xf>
    <xf numFmtId="0" fontId="58" fillId="0" borderId="10" xfId="0" applyFont="1" applyFill="1" applyBorder="1" applyAlignment="1">
      <alignment vertical="top" wrapText="1"/>
    </xf>
    <xf numFmtId="0" fontId="58" fillId="0" borderId="13" xfId="0" applyFont="1" applyFill="1" applyBorder="1" applyAlignment="1">
      <alignment vertical="top" wrapText="1"/>
    </xf>
    <xf numFmtId="0" fontId="11" fillId="0" borderId="10" xfId="0" applyFont="1" applyFill="1" applyBorder="1" applyAlignment="1">
      <alignment vertical="top" wrapText="1"/>
    </xf>
    <xf numFmtId="0" fontId="58" fillId="0" borderId="10" xfId="0" applyFont="1" applyFill="1" applyBorder="1" applyAlignment="1">
      <alignment vertical="top"/>
    </xf>
    <xf numFmtId="49" fontId="11" fillId="0" borderId="16"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69" fontId="11" fillId="0" borderId="10" xfId="64" applyNumberFormat="1" applyFont="1" applyBorder="1" applyAlignment="1">
      <alignment horizontal="center" vertical="center"/>
    </xf>
    <xf numFmtId="169" fontId="11" fillId="0" borderId="10" xfId="0" applyNumberFormat="1" applyFont="1" applyBorder="1" applyAlignment="1">
      <alignment horizontal="center" vertical="center"/>
    </xf>
    <xf numFmtId="0" fontId="11" fillId="0" borderId="0" xfId="0" applyFont="1" applyAlignment="1">
      <alignment/>
    </xf>
    <xf numFmtId="0" fontId="11" fillId="0" borderId="10" xfId="0" applyFont="1" applyBorder="1" applyAlignment="1">
      <alignment vertical="top" wrapText="1"/>
    </xf>
    <xf numFmtId="49" fontId="11" fillId="0" borderId="10" xfId="0" applyNumberFormat="1" applyFont="1" applyBorder="1" applyAlignment="1">
      <alignment vertical="top" wrapText="1"/>
    </xf>
    <xf numFmtId="0" fontId="13" fillId="0" borderId="10" xfId="35" applyFont="1" applyFill="1" applyBorder="1" applyAlignment="1">
      <alignment vertical="top" wrapText="1"/>
      <protection/>
    </xf>
    <xf numFmtId="169" fontId="11" fillId="0" borderId="10" xfId="0" applyNumberFormat="1" applyFont="1" applyBorder="1" applyAlignment="1">
      <alignment horizontal="center" vertical="center" wrapText="1"/>
    </xf>
    <xf numFmtId="0" fontId="13" fillId="0" borderId="10" xfId="35" applyFont="1" applyBorder="1" applyAlignment="1">
      <alignment vertical="top" wrapText="1"/>
      <protection/>
    </xf>
    <xf numFmtId="0" fontId="13" fillId="35" borderId="10" xfId="35" applyFont="1" applyFill="1" applyBorder="1" applyAlignment="1">
      <alignment vertical="top" wrapText="1"/>
      <protection/>
    </xf>
    <xf numFmtId="0" fontId="11" fillId="0" borderId="10" xfId="0" applyNumberFormat="1" applyFont="1" applyBorder="1" applyAlignment="1">
      <alignment vertical="top" wrapText="1"/>
    </xf>
    <xf numFmtId="0" fontId="58" fillId="0" borderId="10" xfId="0" applyFont="1" applyBorder="1" applyAlignment="1">
      <alignment vertical="top" wrapText="1"/>
    </xf>
    <xf numFmtId="0" fontId="13" fillId="0" borderId="17" xfId="35" applyFont="1" applyBorder="1" applyAlignment="1">
      <alignment vertical="top" wrapText="1"/>
      <protection/>
    </xf>
    <xf numFmtId="0" fontId="11" fillId="0" borderId="13" xfId="0" applyFont="1" applyBorder="1" applyAlignment="1">
      <alignment vertical="top" wrapText="1"/>
    </xf>
    <xf numFmtId="0" fontId="11" fillId="0" borderId="10" xfId="0" applyNumberFormat="1" applyFont="1" applyFill="1" applyBorder="1" applyAlignment="1" applyProtection="1">
      <alignment vertical="top" wrapText="1" shrinkToFit="1"/>
      <protection locked="0"/>
    </xf>
    <xf numFmtId="0" fontId="11" fillId="0" borderId="10" xfId="0" applyNumberFormat="1" applyFont="1" applyFill="1" applyBorder="1" applyAlignment="1" applyProtection="1">
      <alignment horizontal="left" vertical="top" wrapText="1" shrinkToFit="1"/>
      <protection locked="0"/>
    </xf>
    <xf numFmtId="0" fontId="12" fillId="34" borderId="18" xfId="0" applyNumberFormat="1" applyFont="1" applyFill="1" applyBorder="1" applyAlignment="1" applyProtection="1">
      <alignment vertical="top" wrapText="1" shrinkToFit="1"/>
      <protection locked="0"/>
    </xf>
    <xf numFmtId="0" fontId="58" fillId="34" borderId="10" xfId="0" applyNumberFormat="1" applyFont="1" applyFill="1" applyBorder="1" applyAlignment="1" applyProtection="1">
      <alignment vertical="top" wrapText="1" shrinkToFit="1"/>
      <protection locked="0"/>
    </xf>
    <xf numFmtId="0" fontId="13" fillId="34" borderId="10" xfId="0" applyNumberFormat="1" applyFont="1" applyFill="1" applyBorder="1" applyAlignment="1" applyProtection="1">
      <alignment vertical="top" wrapText="1" shrinkToFit="1"/>
      <protection locked="0"/>
    </xf>
    <xf numFmtId="0" fontId="11" fillId="34" borderId="10" xfId="0" applyNumberFormat="1" applyFont="1" applyFill="1" applyBorder="1" applyAlignment="1" applyProtection="1">
      <alignment horizontal="left" vertical="top" wrapText="1" shrinkToFit="1"/>
      <protection locked="0"/>
    </xf>
    <xf numFmtId="49" fontId="10" fillId="0" borderId="10" xfId="0" applyNumberFormat="1" applyFont="1" applyBorder="1" applyAlignment="1">
      <alignment vertical="top" wrapText="1"/>
    </xf>
    <xf numFmtId="0" fontId="11" fillId="34" borderId="17" xfId="0" applyNumberFormat="1" applyFont="1" applyFill="1" applyBorder="1" applyAlignment="1" applyProtection="1">
      <alignment vertical="top" wrapText="1" shrinkToFit="1"/>
      <protection locked="0"/>
    </xf>
    <xf numFmtId="49" fontId="11" fillId="0" borderId="10" xfId="0" applyNumberFormat="1" applyFont="1" applyBorder="1" applyAlignment="1">
      <alignment vertical="top"/>
    </xf>
    <xf numFmtId="14" fontId="13" fillId="0" borderId="10" xfId="35" applyNumberFormat="1" applyFont="1" applyFill="1" applyBorder="1" applyAlignment="1">
      <alignment vertical="top" wrapText="1"/>
      <protection/>
    </xf>
    <xf numFmtId="0" fontId="12" fillId="0" borderId="10" xfId="0" applyNumberFormat="1" applyFont="1" applyFill="1" applyBorder="1" applyAlignment="1" applyProtection="1">
      <alignment horizontal="left" vertical="top" wrapText="1" shrinkToFit="1"/>
      <protection locked="0"/>
    </xf>
    <xf numFmtId="0" fontId="12" fillId="35" borderId="16" xfId="0" applyNumberFormat="1" applyFont="1" applyFill="1" applyBorder="1" applyAlignment="1" applyProtection="1">
      <alignment horizontal="center" vertical="center" wrapText="1" shrinkToFit="1"/>
      <protection locked="0"/>
    </xf>
    <xf numFmtId="49" fontId="10" fillId="0" borderId="10" xfId="0" applyNumberFormat="1" applyFont="1" applyFill="1" applyBorder="1" applyAlignment="1">
      <alignment vertical="top"/>
    </xf>
    <xf numFmtId="49" fontId="10" fillId="0" borderId="13" xfId="0" applyNumberFormat="1" applyFont="1" applyFill="1" applyBorder="1" applyAlignment="1">
      <alignment vertical="top"/>
    </xf>
    <xf numFmtId="49" fontId="10" fillId="0" borderId="16"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69" fontId="10" fillId="0" borderId="10" xfId="0" applyNumberFormat="1" applyFont="1" applyFill="1" applyBorder="1" applyAlignment="1">
      <alignment horizontal="center" vertical="center" wrapText="1"/>
    </xf>
    <xf numFmtId="169" fontId="10" fillId="0" borderId="10" xfId="0" applyNumberFormat="1" applyFont="1" applyFill="1" applyBorder="1" applyAlignment="1">
      <alignment horizontal="center" vertical="center"/>
    </xf>
    <xf numFmtId="0" fontId="10" fillId="0" borderId="0" xfId="0" applyFont="1" applyFill="1" applyAlignment="1">
      <alignment/>
    </xf>
    <xf numFmtId="172" fontId="10" fillId="0" borderId="18" xfId="0" applyNumberFormat="1" applyFont="1" applyBorder="1" applyAlignment="1">
      <alignment vertical="top" wrapText="1"/>
    </xf>
    <xf numFmtId="49" fontId="10" fillId="0" borderId="18" xfId="0" applyNumberFormat="1" applyFont="1" applyBorder="1" applyAlignment="1">
      <alignment vertical="top"/>
    </xf>
    <xf numFmtId="49" fontId="10" fillId="0" borderId="18" xfId="0" applyNumberFormat="1" applyFont="1" applyBorder="1" applyAlignment="1">
      <alignment vertical="top" wrapText="1"/>
    </xf>
    <xf numFmtId="172" fontId="10" fillId="0" borderId="10" xfId="0" applyNumberFormat="1" applyFont="1" applyBorder="1" applyAlignment="1">
      <alignment vertical="top" wrapText="1"/>
    </xf>
    <xf numFmtId="0" fontId="10" fillId="34" borderId="17" xfId="0" applyNumberFormat="1" applyFont="1" applyFill="1" applyBorder="1" applyAlignment="1">
      <alignment horizontal="left" vertical="top" wrapText="1"/>
    </xf>
    <xf numFmtId="49" fontId="10" fillId="0" borderId="17" xfId="0" applyNumberFormat="1" applyFont="1" applyBorder="1" applyAlignment="1">
      <alignment horizontal="left" vertical="top" wrapText="1"/>
    </xf>
    <xf numFmtId="49" fontId="10" fillId="0" borderId="17" xfId="0" applyNumberFormat="1" applyFont="1" applyBorder="1" applyAlignment="1">
      <alignment vertical="top" wrapText="1"/>
    </xf>
    <xf numFmtId="49" fontId="10" fillId="0" borderId="13" xfId="0" applyNumberFormat="1" applyFont="1" applyBorder="1" applyAlignment="1">
      <alignment vertical="top" wrapText="1"/>
    </xf>
    <xf numFmtId="0" fontId="57" fillId="0" borderId="10" xfId="0" applyFont="1" applyBorder="1" applyAlignment="1">
      <alignment horizontal="left" vertical="top" wrapText="1"/>
    </xf>
    <xf numFmtId="0" fontId="57" fillId="0" borderId="10" xfId="0" applyFont="1" applyBorder="1" applyAlignment="1">
      <alignment horizontal="left" vertical="top"/>
    </xf>
    <xf numFmtId="2" fontId="10" fillId="0" borderId="10" xfId="0" applyNumberFormat="1" applyFont="1" applyBorder="1" applyAlignment="1">
      <alignment horizontal="center" vertical="center" wrapText="1"/>
    </xf>
    <xf numFmtId="2" fontId="10" fillId="33" borderId="10" xfId="0" applyNumberFormat="1" applyFont="1" applyFill="1" applyBorder="1" applyAlignment="1">
      <alignment horizontal="center" vertical="center"/>
    </xf>
    <xf numFmtId="0" fontId="10" fillId="0" borderId="16" xfId="0" applyFont="1" applyBorder="1" applyAlignment="1">
      <alignment horizontal="center" vertical="center" wrapText="1"/>
    </xf>
    <xf numFmtId="2" fontId="10" fillId="0" borderId="10" xfId="0" applyNumberFormat="1" applyFont="1" applyBorder="1" applyAlignment="1">
      <alignment horizontal="center" vertical="center"/>
    </xf>
    <xf numFmtId="0" fontId="11" fillId="0" borderId="12" xfId="0" applyFont="1" applyFill="1" applyBorder="1" applyAlignment="1">
      <alignment vertical="center" wrapText="1"/>
    </xf>
    <xf numFmtId="0" fontId="10" fillId="33" borderId="14" xfId="0" applyNumberFormat="1" applyFont="1" applyFill="1" applyBorder="1" applyAlignment="1">
      <alignment horizontal="left" vertical="center"/>
    </xf>
    <xf numFmtId="49" fontId="10" fillId="33" borderId="20" xfId="0" applyNumberFormat="1" applyFont="1" applyFill="1" applyBorder="1" applyAlignment="1">
      <alignment horizontal="center" vertical="center" wrapText="1"/>
    </xf>
    <xf numFmtId="49" fontId="10" fillId="33" borderId="12" xfId="0" applyNumberFormat="1" applyFont="1" applyFill="1" applyBorder="1" applyAlignment="1">
      <alignment horizontal="center" vertical="center" wrapText="1"/>
    </xf>
    <xf numFmtId="2" fontId="10" fillId="33" borderId="12" xfId="0" applyNumberFormat="1" applyFont="1" applyFill="1" applyBorder="1" applyAlignment="1">
      <alignment horizontal="center" vertical="center"/>
    </xf>
    <xf numFmtId="169" fontId="9" fillId="33" borderId="12" xfId="0" applyNumberFormat="1" applyFont="1" applyFill="1" applyBorder="1" applyAlignment="1">
      <alignment horizontal="center" vertical="center"/>
    </xf>
    <xf numFmtId="0" fontId="10" fillId="0" borderId="11" xfId="0" applyFont="1" applyFill="1" applyBorder="1" applyAlignment="1">
      <alignment vertical="center" wrapText="1"/>
    </xf>
    <xf numFmtId="0" fontId="10" fillId="0" borderId="15" xfId="0" applyNumberFormat="1" applyFont="1" applyBorder="1" applyAlignment="1">
      <alignment horizontal="left" vertical="center"/>
    </xf>
    <xf numFmtId="0" fontId="10" fillId="0" borderId="21" xfId="0" applyFont="1" applyBorder="1" applyAlignment="1">
      <alignment horizontal="center" vertical="center" wrapText="1"/>
    </xf>
    <xf numFmtId="0" fontId="10" fillId="0" borderId="11" xfId="0" applyFont="1" applyBorder="1" applyAlignment="1">
      <alignment horizontal="center" vertical="center" wrapText="1"/>
    </xf>
    <xf numFmtId="2" fontId="10" fillId="0" borderId="11" xfId="0" applyNumberFormat="1" applyFont="1" applyBorder="1" applyAlignment="1">
      <alignment horizontal="center" vertical="center"/>
    </xf>
    <xf numFmtId="169" fontId="10" fillId="0" borderId="11" xfId="0" applyNumberFormat="1" applyFont="1" applyBorder="1" applyAlignment="1">
      <alignment horizontal="center" vertical="center"/>
    </xf>
    <xf numFmtId="49" fontId="10" fillId="0" borderId="21"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0" fontId="11" fillId="0" borderId="11" xfId="0" applyFont="1" applyFill="1" applyBorder="1" applyAlignment="1">
      <alignment vertical="center" wrapText="1"/>
    </xf>
    <xf numFmtId="0" fontId="10" fillId="33" borderId="15" xfId="0" applyNumberFormat="1" applyFont="1" applyFill="1" applyBorder="1" applyAlignment="1">
      <alignment horizontal="left" vertical="center"/>
    </xf>
    <xf numFmtId="49" fontId="10" fillId="33" borderId="21"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2" fontId="10" fillId="33" borderId="11" xfId="0" applyNumberFormat="1" applyFont="1" applyFill="1" applyBorder="1" applyAlignment="1">
      <alignment horizontal="center" vertical="center"/>
    </xf>
    <xf numFmtId="169" fontId="9" fillId="33" borderId="11" xfId="0" applyNumberFormat="1" applyFont="1" applyFill="1" applyBorder="1" applyAlignment="1">
      <alignment horizontal="center" vertical="center"/>
    </xf>
    <xf numFmtId="169" fontId="10" fillId="33" borderId="11" xfId="0" applyNumberFormat="1" applyFont="1" applyFill="1" applyBorder="1" applyAlignment="1">
      <alignment horizontal="center" vertical="center"/>
    </xf>
    <xf numFmtId="0" fontId="9" fillId="0" borderId="11" xfId="0" applyFont="1" applyFill="1" applyBorder="1" applyAlignment="1">
      <alignment vertical="center" wrapText="1"/>
    </xf>
    <xf numFmtId="1" fontId="10" fillId="0" borderId="15" xfId="0" applyNumberFormat="1" applyFont="1" applyBorder="1" applyAlignment="1">
      <alignment horizontal="left" vertical="center"/>
    </xf>
    <xf numFmtId="0" fontId="59" fillId="0" borderId="10" xfId="33" applyNumberFormat="1" applyFont="1" applyFill="1" applyBorder="1" applyAlignment="1">
      <alignment vertical="top" wrapText="1"/>
      <protection/>
    </xf>
    <xf numFmtId="2" fontId="10" fillId="0" borderId="11" xfId="0" applyNumberFormat="1" applyFont="1" applyBorder="1" applyAlignment="1">
      <alignment horizontal="center" vertical="center" wrapText="1"/>
    </xf>
    <xf numFmtId="0" fontId="10" fillId="0" borderId="15" xfId="0" applyNumberFormat="1" applyFont="1" applyFill="1" applyBorder="1" applyAlignment="1">
      <alignment horizontal="left" vertical="center"/>
    </xf>
    <xf numFmtId="0" fontId="10" fillId="0" borderId="0" xfId="0" applyFont="1" applyAlignment="1">
      <alignment horizontal="center" vertical="center" wrapText="1"/>
    </xf>
    <xf numFmtId="0" fontId="10" fillId="0" borderId="11" xfId="0" applyFont="1" applyBorder="1" applyAlignment="1">
      <alignment horizontal="left" vertical="top"/>
    </xf>
    <xf numFmtId="0" fontId="10" fillId="0" borderId="11" xfId="0" applyFont="1" applyBorder="1" applyAlignment="1">
      <alignment horizontal="left" vertical="top" wrapText="1"/>
    </xf>
    <xf numFmtId="169" fontId="2" fillId="34" borderId="10" xfId="64" applyNumberFormat="1" applyFont="1" applyFill="1" applyBorder="1" applyAlignment="1">
      <alignment horizontal="center" vertical="center" wrapText="1"/>
    </xf>
    <xf numFmtId="169" fontId="2" fillId="34" borderId="10" xfId="0" applyNumberFormat="1" applyFont="1" applyFill="1" applyBorder="1" applyAlignment="1">
      <alignment horizontal="center" vertical="center"/>
    </xf>
    <xf numFmtId="169" fontId="2" fillId="34" borderId="10" xfId="64" applyNumberFormat="1" applyFont="1" applyFill="1" applyBorder="1" applyAlignment="1">
      <alignment horizontal="center" vertical="center"/>
    </xf>
    <xf numFmtId="49" fontId="2" fillId="0" borderId="16"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69" fontId="2" fillId="0" borderId="10" xfId="0" applyNumberFormat="1" applyFont="1" applyFill="1" applyBorder="1" applyAlignment="1">
      <alignment horizontal="center" vertical="center" wrapText="1"/>
    </xf>
    <xf numFmtId="169" fontId="2" fillId="0" borderId="10" xfId="0" applyNumberFormat="1" applyFont="1" applyFill="1" applyBorder="1" applyAlignment="1">
      <alignment horizontal="center" vertical="center"/>
    </xf>
    <xf numFmtId="169" fontId="2" fillId="0" borderId="10" xfId="64" applyNumberFormat="1" applyFont="1" applyFill="1" applyBorder="1" applyAlignment="1">
      <alignment horizontal="center" vertical="center"/>
    </xf>
    <xf numFmtId="0" fontId="2" fillId="0" borderId="10" xfId="0" applyFont="1" applyFill="1" applyBorder="1" applyAlignment="1">
      <alignment vertical="top"/>
    </xf>
    <xf numFmtId="169" fontId="2" fillId="0" borderId="10" xfId="64" applyNumberFormat="1" applyFont="1" applyFill="1" applyBorder="1" applyAlignment="1">
      <alignment horizontal="center" vertical="center" wrapText="1"/>
    </xf>
    <xf numFmtId="0" fontId="10" fillId="0" borderId="13" xfId="0" applyFont="1" applyFill="1" applyBorder="1" applyAlignment="1">
      <alignment vertical="top" wrapText="1"/>
    </xf>
    <xf numFmtId="0" fontId="10" fillId="0" borderId="13" xfId="0" applyNumberFormat="1" applyFont="1" applyFill="1" applyBorder="1" applyAlignment="1">
      <alignment vertical="top" wrapText="1"/>
    </xf>
    <xf numFmtId="0" fontId="2" fillId="0" borderId="13" xfId="0" applyFont="1" applyFill="1" applyBorder="1" applyAlignment="1">
      <alignment vertical="top" wrapText="1"/>
    </xf>
    <xf numFmtId="0" fontId="2" fillId="0" borderId="13" xfId="0" applyNumberFormat="1" applyFont="1" applyFill="1" applyBorder="1" applyAlignment="1">
      <alignment vertical="top" wrapText="1"/>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9" fillId="0" borderId="0" xfId="0" applyFont="1" applyAlignment="1">
      <alignment horizontal="center"/>
    </xf>
    <xf numFmtId="0" fontId="14" fillId="0" borderId="0" xfId="0" applyFont="1" applyAlignment="1">
      <alignment/>
    </xf>
    <xf numFmtId="0" fontId="10" fillId="0" borderId="10" xfId="0" applyFont="1" applyFill="1" applyBorder="1" applyAlignment="1">
      <alignment horizontal="center" vertical="center" wrapText="1"/>
    </xf>
    <xf numFmtId="0" fontId="10" fillId="0" borderId="10" xfId="0" applyFont="1" applyBorder="1" applyAlignment="1">
      <alignment horizontal="center" vertical="top" wrapText="1"/>
    </xf>
    <xf numFmtId="0" fontId="2" fillId="0" borderId="10" xfId="0" applyFont="1" applyBorder="1" applyAlignment="1">
      <alignment horizontal="center" vertical="center" wrapText="1"/>
    </xf>
    <xf numFmtId="0" fontId="3" fillId="0" borderId="0" xfId="0" applyFont="1" applyAlignment="1">
      <alignment horizont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Normal_TMP_2" xfId="34"/>
    <cellStyle name="S11" xfId="35"/>
    <cellStyle name="S1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631"/>
  <sheetViews>
    <sheetView tabSelected="1" zoomScale="75" zoomScaleNormal="75" zoomScalePageLayoutView="0" workbookViewId="0" topLeftCell="A104">
      <selection activeCell="F107" sqref="F107"/>
    </sheetView>
  </sheetViews>
  <sheetFormatPr defaultColWidth="9.00390625" defaultRowHeight="12.75"/>
  <cols>
    <col min="1" max="1" width="45.125" style="265" customWidth="1"/>
    <col min="2" max="2" width="5.625" style="132" customWidth="1"/>
    <col min="3" max="3" width="45.75390625" style="132" customWidth="1"/>
    <col min="4" max="4" width="10.625" style="132" customWidth="1"/>
    <col min="5" max="5" width="12.00390625" style="132" customWidth="1"/>
    <col min="6" max="6" width="47.75390625" style="132" customWidth="1"/>
    <col min="7" max="7" width="9.125" style="132" customWidth="1"/>
    <col min="8" max="8" width="10.625" style="132" customWidth="1"/>
    <col min="9" max="9" width="47.875" style="132" customWidth="1"/>
    <col min="10" max="10" width="10.375" style="132" customWidth="1"/>
    <col min="11" max="11" width="13.25390625" style="132" customWidth="1"/>
    <col min="12" max="12" width="5.375" style="306" customWidth="1"/>
    <col min="13" max="13" width="4.375" style="306" customWidth="1"/>
    <col min="14" max="14" width="13.375" style="131" bestFit="1" customWidth="1"/>
    <col min="15" max="15" width="11.875" style="131" bestFit="1" customWidth="1"/>
    <col min="16" max="16" width="12.625" style="131" customWidth="1"/>
    <col min="17" max="17" width="13.75390625" style="131" customWidth="1"/>
    <col min="18" max="18" width="13.375" style="131" customWidth="1"/>
    <col min="19" max="19" width="12.375" style="131" customWidth="1"/>
    <col min="20" max="16384" width="9.125" style="132" customWidth="1"/>
  </cols>
  <sheetData>
    <row r="1" spans="1:16" ht="15.75">
      <c r="A1" s="325" t="s">
        <v>804</v>
      </c>
      <c r="B1" s="326"/>
      <c r="C1" s="325"/>
      <c r="D1" s="325"/>
      <c r="E1" s="325"/>
      <c r="F1" s="325"/>
      <c r="G1" s="325"/>
      <c r="H1" s="325"/>
      <c r="I1" s="325"/>
      <c r="J1" s="325"/>
      <c r="K1" s="325"/>
      <c r="L1" s="325"/>
      <c r="M1" s="325"/>
      <c r="N1" s="325"/>
      <c r="O1" s="325"/>
      <c r="P1" s="325"/>
    </row>
    <row r="3" spans="1:19" ht="15.75">
      <c r="A3" s="327" t="s">
        <v>16</v>
      </c>
      <c r="B3" s="328" t="s">
        <v>10</v>
      </c>
      <c r="C3" s="323" t="s">
        <v>15</v>
      </c>
      <c r="D3" s="323"/>
      <c r="E3" s="323"/>
      <c r="F3" s="323"/>
      <c r="G3" s="323"/>
      <c r="H3" s="323"/>
      <c r="I3" s="134"/>
      <c r="J3" s="134"/>
      <c r="K3" s="134"/>
      <c r="L3" s="323" t="s">
        <v>3</v>
      </c>
      <c r="M3" s="323"/>
      <c r="N3" s="323" t="s">
        <v>2</v>
      </c>
      <c r="O3" s="323"/>
      <c r="P3" s="323"/>
      <c r="Q3" s="323"/>
      <c r="R3" s="323"/>
      <c r="S3" s="323"/>
    </row>
    <row r="4" spans="1:19" ht="31.5">
      <c r="A4" s="327"/>
      <c r="B4" s="328"/>
      <c r="C4" s="324" t="s">
        <v>9</v>
      </c>
      <c r="D4" s="324"/>
      <c r="E4" s="324"/>
      <c r="F4" s="324" t="s">
        <v>6</v>
      </c>
      <c r="G4" s="324"/>
      <c r="H4" s="324"/>
      <c r="I4" s="324" t="s">
        <v>742</v>
      </c>
      <c r="J4" s="324"/>
      <c r="K4" s="324"/>
      <c r="L4" s="323"/>
      <c r="M4" s="323"/>
      <c r="N4" s="323" t="s">
        <v>735</v>
      </c>
      <c r="O4" s="323"/>
      <c r="P4" s="134" t="s">
        <v>736</v>
      </c>
      <c r="Q4" s="134" t="s">
        <v>737</v>
      </c>
      <c r="R4" s="323" t="s">
        <v>738</v>
      </c>
      <c r="S4" s="323"/>
    </row>
    <row r="5" spans="1:19" ht="110.25">
      <c r="A5" s="327"/>
      <c r="B5" s="328"/>
      <c r="C5" s="133" t="s">
        <v>43</v>
      </c>
      <c r="D5" s="133" t="s">
        <v>7</v>
      </c>
      <c r="E5" s="133" t="s">
        <v>8</v>
      </c>
      <c r="F5" s="133" t="s">
        <v>43</v>
      </c>
      <c r="G5" s="133" t="s">
        <v>7</v>
      </c>
      <c r="H5" s="133" t="s">
        <v>8</v>
      </c>
      <c r="I5" s="133" t="s">
        <v>43</v>
      </c>
      <c r="J5" s="133" t="s">
        <v>7</v>
      </c>
      <c r="K5" s="133" t="s">
        <v>8</v>
      </c>
      <c r="L5" s="134" t="s">
        <v>4</v>
      </c>
      <c r="M5" s="134" t="s">
        <v>5</v>
      </c>
      <c r="N5" s="134" t="s">
        <v>739</v>
      </c>
      <c r="O5" s="134" t="s">
        <v>1</v>
      </c>
      <c r="P5" s="134" t="s">
        <v>740</v>
      </c>
      <c r="Q5" s="134" t="s">
        <v>741</v>
      </c>
      <c r="R5" s="134" t="s">
        <v>758</v>
      </c>
      <c r="S5" s="134" t="s">
        <v>759</v>
      </c>
    </row>
    <row r="6" spans="1:19" s="137" customFormat="1" ht="35.25" customHeight="1">
      <c r="A6" s="136">
        <v>1</v>
      </c>
      <c r="B6" s="135">
        <v>2</v>
      </c>
      <c r="C6" s="135">
        <v>3</v>
      </c>
      <c r="D6" s="135">
        <v>4</v>
      </c>
      <c r="E6" s="135">
        <v>5</v>
      </c>
      <c r="F6" s="135">
        <v>6</v>
      </c>
      <c r="G6" s="135">
        <v>7</v>
      </c>
      <c r="H6" s="135">
        <v>8</v>
      </c>
      <c r="I6" s="135">
        <v>9</v>
      </c>
      <c r="J6" s="135">
        <v>10</v>
      </c>
      <c r="K6" s="135">
        <v>11</v>
      </c>
      <c r="L6" s="134">
        <v>12</v>
      </c>
      <c r="M6" s="134">
        <v>13</v>
      </c>
      <c r="N6" s="135">
        <v>14</v>
      </c>
      <c r="O6" s="135">
        <v>15</v>
      </c>
      <c r="P6" s="135">
        <v>16</v>
      </c>
      <c r="Q6" s="135">
        <v>17</v>
      </c>
      <c r="R6" s="135">
        <v>18</v>
      </c>
      <c r="S6" s="135">
        <v>19</v>
      </c>
    </row>
    <row r="7" spans="1:19" ht="94.5">
      <c r="A7" s="138" t="s">
        <v>41</v>
      </c>
      <c r="B7" s="139" t="s">
        <v>11</v>
      </c>
      <c r="C7" s="140" t="s">
        <v>12</v>
      </c>
      <c r="D7" s="139" t="s">
        <v>12</v>
      </c>
      <c r="E7" s="139" t="s">
        <v>12</v>
      </c>
      <c r="F7" s="140" t="s">
        <v>12</v>
      </c>
      <c r="G7" s="139" t="s">
        <v>12</v>
      </c>
      <c r="H7" s="139" t="s">
        <v>12</v>
      </c>
      <c r="I7" s="139"/>
      <c r="J7" s="139"/>
      <c r="K7" s="139"/>
      <c r="L7" s="141" t="s">
        <v>12</v>
      </c>
      <c r="M7" s="141" t="s">
        <v>12</v>
      </c>
      <c r="N7" s="142">
        <f aca="true" t="shared" si="0" ref="N7:S7">N8+N104+N124+N143+N189</f>
        <v>2837174.5</v>
      </c>
      <c r="O7" s="142">
        <f t="shared" si="0"/>
        <v>2749605.8</v>
      </c>
      <c r="P7" s="142">
        <f t="shared" si="0"/>
        <v>2247189.9000000004</v>
      </c>
      <c r="Q7" s="142">
        <f t="shared" si="0"/>
        <v>2144946.1999999997</v>
      </c>
      <c r="R7" s="142">
        <f t="shared" si="0"/>
        <v>2106384.4</v>
      </c>
      <c r="S7" s="142">
        <f t="shared" si="0"/>
        <v>2105646</v>
      </c>
    </row>
    <row r="8" spans="1:19" ht="110.25">
      <c r="A8" s="143" t="s">
        <v>107</v>
      </c>
      <c r="B8" s="144" t="s">
        <v>14</v>
      </c>
      <c r="C8" s="145" t="s">
        <v>12</v>
      </c>
      <c r="D8" s="146" t="s">
        <v>12</v>
      </c>
      <c r="E8" s="146" t="s">
        <v>12</v>
      </c>
      <c r="F8" s="145" t="s">
        <v>12</v>
      </c>
      <c r="G8" s="146" t="s">
        <v>12</v>
      </c>
      <c r="H8" s="146" t="s">
        <v>12</v>
      </c>
      <c r="I8" s="146"/>
      <c r="J8" s="146"/>
      <c r="K8" s="146"/>
      <c r="L8" s="147" t="s">
        <v>12</v>
      </c>
      <c r="M8" s="147" t="s">
        <v>12</v>
      </c>
      <c r="N8" s="142">
        <f aca="true" t="shared" si="1" ref="N8:S8">SUM(N9:N103)</f>
        <v>1419391.5000000002</v>
      </c>
      <c r="O8" s="142">
        <f t="shared" si="1"/>
        <v>1346794.4000000001</v>
      </c>
      <c r="P8" s="142">
        <f t="shared" si="1"/>
        <v>894603.9</v>
      </c>
      <c r="Q8" s="142">
        <f t="shared" si="1"/>
        <v>764712.2999999999</v>
      </c>
      <c r="R8" s="142">
        <f t="shared" si="1"/>
        <v>723038.6</v>
      </c>
      <c r="S8" s="142">
        <f t="shared" si="1"/>
        <v>722300.2</v>
      </c>
    </row>
    <row r="9" spans="1:19" ht="409.5">
      <c r="A9" s="148" t="s">
        <v>44</v>
      </c>
      <c r="B9" s="149">
        <v>1002</v>
      </c>
      <c r="C9" s="150" t="s">
        <v>359</v>
      </c>
      <c r="D9" s="151" t="s">
        <v>371</v>
      </c>
      <c r="E9" s="151" t="s">
        <v>360</v>
      </c>
      <c r="F9" s="151" t="s">
        <v>805</v>
      </c>
      <c r="G9" s="151" t="s">
        <v>806</v>
      </c>
      <c r="H9" s="151" t="s">
        <v>807</v>
      </c>
      <c r="I9" s="152" t="s">
        <v>959</v>
      </c>
      <c r="J9" s="152" t="s">
        <v>877</v>
      </c>
      <c r="K9" s="152" t="s">
        <v>960</v>
      </c>
      <c r="L9" s="153" t="s">
        <v>778</v>
      </c>
      <c r="M9" s="154" t="s">
        <v>779</v>
      </c>
      <c r="N9" s="155">
        <f>4909.7+14429.3+37641.8+2575.1+255.6+30401.1+262.5+1262.8+418.5+3969.5+57.5+34.5+17.3+325+39.9+60+1706.5+4318.7+40-60-483</f>
        <v>102182.3</v>
      </c>
      <c r="O9" s="156">
        <f>11355+2963.4+30401.1+418.5+1702.2+65.8+262.5+60+39.9+3967.7+4315.1+40+57.5+34.5+17.3+325+4865+44.7+37639.7+2575.1+255.7-60-483</f>
        <v>100862.7</v>
      </c>
      <c r="P9" s="156">
        <f>4865+12452.1+2961.5+2575.1+20637.8+9563.8+8000+325+1161.3+40+300+172.5+172.5+201.5+200+4289.1+1152+39791+100+0.7+159</f>
        <v>109119.90000000001</v>
      </c>
      <c r="Q9" s="157">
        <f>4865+15413.6+2575.1+20637.8+9549.8+8000+40+300+172.5+115+201.5+384+100+159+4273.3+39791</f>
        <v>106577.6</v>
      </c>
      <c r="R9" s="157">
        <f>4865+15413.6+2575.1+20637.8+9586.1+8000+325+40+300+172.5+172.5+201.5+100+159+4273.3+39791</f>
        <v>106612.4</v>
      </c>
      <c r="S9" s="157">
        <f>4865+15413.6+2575.1+20637.8+9586.1+8000+325+40+300+172.5+172.5+201.5+100+159+4273.3+39791</f>
        <v>106612.4</v>
      </c>
    </row>
    <row r="10" spans="1:19" ht="346.5">
      <c r="A10" s="148"/>
      <c r="B10" s="149"/>
      <c r="C10" s="150"/>
      <c r="D10" s="151"/>
      <c r="E10" s="151"/>
      <c r="F10" s="151"/>
      <c r="G10" s="151"/>
      <c r="H10" s="151"/>
      <c r="I10" s="152" t="s">
        <v>1013</v>
      </c>
      <c r="J10" s="152"/>
      <c r="K10" s="152"/>
      <c r="L10" s="153"/>
      <c r="M10" s="154"/>
      <c r="N10" s="155"/>
      <c r="O10" s="156"/>
      <c r="P10" s="156"/>
      <c r="Q10" s="157"/>
      <c r="R10" s="157"/>
      <c r="S10" s="157"/>
    </row>
    <row r="11" spans="1:19" ht="31.5">
      <c r="A11" s="148" t="s">
        <v>45</v>
      </c>
      <c r="B11" s="158">
        <v>1003</v>
      </c>
      <c r="C11" s="150"/>
      <c r="D11" s="150"/>
      <c r="E11" s="150"/>
      <c r="F11" s="150"/>
      <c r="G11" s="150"/>
      <c r="H11" s="150"/>
      <c r="I11" s="150"/>
      <c r="J11" s="150"/>
      <c r="K11" s="150"/>
      <c r="L11" s="153"/>
      <c r="M11" s="154"/>
      <c r="N11" s="159"/>
      <c r="O11" s="156"/>
      <c r="P11" s="156"/>
      <c r="Q11" s="156"/>
      <c r="R11" s="156"/>
      <c r="S11" s="156"/>
    </row>
    <row r="12" spans="1:19" ht="409.5" customHeight="1">
      <c r="A12" s="148" t="s">
        <v>46</v>
      </c>
      <c r="B12" s="149">
        <v>1004</v>
      </c>
      <c r="C12" s="150" t="s">
        <v>561</v>
      </c>
      <c r="D12" s="160" t="s">
        <v>562</v>
      </c>
      <c r="E12" s="161" t="s">
        <v>597</v>
      </c>
      <c r="F12" s="162" t="s">
        <v>363</v>
      </c>
      <c r="G12" s="150" t="s">
        <v>361</v>
      </c>
      <c r="H12" s="163" t="s">
        <v>362</v>
      </c>
      <c r="I12" s="164" t="s">
        <v>1014</v>
      </c>
      <c r="J12" s="164" t="s">
        <v>962</v>
      </c>
      <c r="K12" s="164" t="s">
        <v>963</v>
      </c>
      <c r="L12" s="153" t="s">
        <v>754</v>
      </c>
      <c r="M12" s="154" t="s">
        <v>755</v>
      </c>
      <c r="N12" s="155">
        <f>9481.6+3532.9+2067.9+195+71.2+208.4+1286.3+28.7+30069+1+60</f>
        <v>47002</v>
      </c>
      <c r="O12" s="156">
        <f>2596.5+1717.4+195+208.4+28.7+1286.3+9480.9+71.2+30060.4+60</f>
        <v>45704.8</v>
      </c>
      <c r="P12" s="156">
        <f>1743.7+261.4+530+2303.7+5955.8+29805.8+376.6+1944.3</f>
        <v>42921.299999999996</v>
      </c>
      <c r="Q12" s="157">
        <f>5955.8+1073+376+103.7+29805.8</f>
        <v>37314.3</v>
      </c>
      <c r="R12" s="157">
        <f>1743.7+430+1076.5+5955.8+376.6+1935.8+29805.8</f>
        <v>41324.2</v>
      </c>
      <c r="S12" s="157">
        <f>1743.7+430+1076.5+5955.8+376.6+1935.8+29805.8</f>
        <v>41324.2</v>
      </c>
    </row>
    <row r="13" spans="1:19" ht="356.25" customHeight="1">
      <c r="A13" s="148"/>
      <c r="B13" s="149"/>
      <c r="C13" s="150"/>
      <c r="D13" s="160"/>
      <c r="E13" s="161"/>
      <c r="F13" s="162"/>
      <c r="G13" s="150"/>
      <c r="H13" s="163"/>
      <c r="I13" s="165" t="s">
        <v>1015</v>
      </c>
      <c r="J13" s="165" t="s">
        <v>961</v>
      </c>
      <c r="K13" s="165" t="s">
        <v>964</v>
      </c>
      <c r="L13" s="153"/>
      <c r="M13" s="154"/>
      <c r="N13" s="155"/>
      <c r="O13" s="156"/>
      <c r="P13" s="156"/>
      <c r="Q13" s="157"/>
      <c r="R13" s="157"/>
      <c r="S13" s="157"/>
    </row>
    <row r="14" spans="1:19" ht="78.75">
      <c r="A14" s="148" t="s">
        <v>47</v>
      </c>
      <c r="B14" s="158">
        <v>1005</v>
      </c>
      <c r="C14" s="150" t="s">
        <v>357</v>
      </c>
      <c r="D14" s="150" t="s">
        <v>372</v>
      </c>
      <c r="E14" s="150" t="s">
        <v>358</v>
      </c>
      <c r="F14" s="150"/>
      <c r="G14" s="150"/>
      <c r="H14" s="163"/>
      <c r="I14" s="152" t="s">
        <v>932</v>
      </c>
      <c r="J14" s="152" t="s">
        <v>847</v>
      </c>
      <c r="K14" s="152" t="s">
        <v>848</v>
      </c>
      <c r="L14" s="153" t="s">
        <v>304</v>
      </c>
      <c r="M14" s="154" t="s">
        <v>302</v>
      </c>
      <c r="N14" s="155">
        <f>99.2+1273+60</f>
        <v>1432.2</v>
      </c>
      <c r="O14" s="156">
        <f>1262.9+60+99.2</f>
        <v>1422.1000000000001</v>
      </c>
      <c r="P14" s="156">
        <v>0</v>
      </c>
      <c r="Q14" s="156">
        <v>0</v>
      </c>
      <c r="R14" s="156">
        <v>0</v>
      </c>
      <c r="S14" s="156">
        <v>0</v>
      </c>
    </row>
    <row r="15" spans="1:19" ht="409.5" customHeight="1">
      <c r="A15" s="148" t="s">
        <v>296</v>
      </c>
      <c r="B15" s="149">
        <v>1006</v>
      </c>
      <c r="C15" s="150" t="s">
        <v>365</v>
      </c>
      <c r="D15" s="150" t="s">
        <v>373</v>
      </c>
      <c r="E15" s="150" t="s">
        <v>367</v>
      </c>
      <c r="F15" s="150" t="s">
        <v>366</v>
      </c>
      <c r="G15" s="150" t="s">
        <v>364</v>
      </c>
      <c r="H15" s="163" t="s">
        <v>628</v>
      </c>
      <c r="I15" s="166" t="s">
        <v>965</v>
      </c>
      <c r="J15" s="166" t="s">
        <v>849</v>
      </c>
      <c r="K15" s="166" t="s">
        <v>850</v>
      </c>
      <c r="L15" s="153" t="s">
        <v>330</v>
      </c>
      <c r="M15" s="154" t="s">
        <v>331</v>
      </c>
      <c r="N15" s="155">
        <f>519.1+892.6+83784.8+764.2+278+270+202.1+228.3+950</f>
        <v>87889.1</v>
      </c>
      <c r="O15" s="156">
        <f>83448.6+407.6+173.8+270+135.1+228.3+502.2+892.3+516.5</f>
        <v>86574.40000000002</v>
      </c>
      <c r="P15" s="156">
        <f>72880+3995+904.2+1067</f>
        <v>78846.2</v>
      </c>
      <c r="Q15" s="157">
        <f>77526.6+766.1</f>
        <v>78292.70000000001</v>
      </c>
      <c r="R15" s="157">
        <f>77526.6+766.1</f>
        <v>78292.70000000001</v>
      </c>
      <c r="S15" s="157">
        <f>77526.6+766.1</f>
        <v>78292.70000000001</v>
      </c>
    </row>
    <row r="16" spans="1:19" ht="204.75">
      <c r="A16" s="148"/>
      <c r="B16" s="149"/>
      <c r="C16" s="150"/>
      <c r="D16" s="150"/>
      <c r="E16" s="150"/>
      <c r="F16" s="150"/>
      <c r="G16" s="150"/>
      <c r="H16" s="163"/>
      <c r="I16" s="167" t="s">
        <v>1016</v>
      </c>
      <c r="J16" s="167"/>
      <c r="K16" s="167"/>
      <c r="L16" s="153"/>
      <c r="M16" s="154"/>
      <c r="N16" s="155"/>
      <c r="O16" s="156"/>
      <c r="P16" s="156"/>
      <c r="Q16" s="157"/>
      <c r="R16" s="157"/>
      <c r="S16" s="157"/>
    </row>
    <row r="17" spans="1:19" ht="330.75">
      <c r="A17" s="148"/>
      <c r="B17" s="149"/>
      <c r="C17" s="150"/>
      <c r="D17" s="150"/>
      <c r="E17" s="150"/>
      <c r="F17" s="150"/>
      <c r="G17" s="150"/>
      <c r="H17" s="163"/>
      <c r="I17" s="167" t="s">
        <v>933</v>
      </c>
      <c r="J17" s="167" t="s">
        <v>852</v>
      </c>
      <c r="K17" s="167" t="s">
        <v>851</v>
      </c>
      <c r="L17" s="153"/>
      <c r="M17" s="154"/>
      <c r="N17" s="155"/>
      <c r="O17" s="156"/>
      <c r="P17" s="156"/>
      <c r="Q17" s="157"/>
      <c r="R17" s="157"/>
      <c r="S17" s="157"/>
    </row>
    <row r="18" spans="1:19" ht="126">
      <c r="A18" s="148" t="s">
        <v>48</v>
      </c>
      <c r="B18" s="158">
        <v>1007</v>
      </c>
      <c r="C18" s="150" t="s">
        <v>368</v>
      </c>
      <c r="D18" s="150" t="s">
        <v>369</v>
      </c>
      <c r="E18" s="150" t="s">
        <v>370</v>
      </c>
      <c r="F18" s="150" t="s">
        <v>579</v>
      </c>
      <c r="G18" s="150" t="s">
        <v>578</v>
      </c>
      <c r="H18" s="150" t="s">
        <v>580</v>
      </c>
      <c r="I18" s="150" t="s">
        <v>869</v>
      </c>
      <c r="J18" s="150" t="s">
        <v>870</v>
      </c>
      <c r="K18" s="150" t="s">
        <v>871</v>
      </c>
      <c r="L18" s="153" t="s">
        <v>300</v>
      </c>
      <c r="M18" s="154" t="s">
        <v>299</v>
      </c>
      <c r="N18" s="159">
        <f>100</f>
        <v>100</v>
      </c>
      <c r="O18" s="156">
        <v>100</v>
      </c>
      <c r="P18" s="156">
        <v>0</v>
      </c>
      <c r="Q18" s="156">
        <v>0</v>
      </c>
      <c r="R18" s="156">
        <v>0</v>
      </c>
      <c r="S18" s="156">
        <v>0</v>
      </c>
    </row>
    <row r="19" spans="1:19" ht="126">
      <c r="A19" s="148" t="s">
        <v>49</v>
      </c>
      <c r="B19" s="149">
        <v>1008</v>
      </c>
      <c r="C19" s="150" t="s">
        <v>569</v>
      </c>
      <c r="D19" s="150" t="s">
        <v>571</v>
      </c>
      <c r="E19" s="150" t="s">
        <v>570</v>
      </c>
      <c r="F19" s="150"/>
      <c r="G19" s="150"/>
      <c r="H19" s="150"/>
      <c r="I19" s="150"/>
      <c r="J19" s="150"/>
      <c r="K19" s="150"/>
      <c r="L19" s="153" t="s">
        <v>298</v>
      </c>
      <c r="M19" s="154" t="s">
        <v>311</v>
      </c>
      <c r="N19" s="159">
        <f>2432.7</f>
        <v>2432.7</v>
      </c>
      <c r="O19" s="156">
        <f>2432.7</f>
        <v>2432.7</v>
      </c>
      <c r="P19" s="156">
        <v>5</v>
      </c>
      <c r="Q19" s="156">
        <v>5</v>
      </c>
      <c r="R19" s="156">
        <v>5</v>
      </c>
      <c r="S19" s="156">
        <v>5</v>
      </c>
    </row>
    <row r="20" spans="1:19" ht="204.75">
      <c r="A20" s="148" t="s">
        <v>50</v>
      </c>
      <c r="B20" s="158">
        <v>1009</v>
      </c>
      <c r="C20" s="168" t="s">
        <v>879</v>
      </c>
      <c r="D20" s="168" t="s">
        <v>880</v>
      </c>
      <c r="E20" s="168" t="s">
        <v>881</v>
      </c>
      <c r="F20" s="169" t="s">
        <v>1017</v>
      </c>
      <c r="G20" s="169"/>
      <c r="H20" s="169"/>
      <c r="I20" s="169" t="s">
        <v>882</v>
      </c>
      <c r="J20" s="168" t="s">
        <v>883</v>
      </c>
      <c r="K20" s="169" t="s">
        <v>884</v>
      </c>
      <c r="L20" s="153" t="s">
        <v>298</v>
      </c>
      <c r="M20" s="154" t="s">
        <v>311</v>
      </c>
      <c r="N20" s="159">
        <v>0</v>
      </c>
      <c r="O20" s="156">
        <v>0</v>
      </c>
      <c r="P20" s="156">
        <v>100</v>
      </c>
      <c r="Q20" s="157">
        <v>100</v>
      </c>
      <c r="R20" s="157">
        <v>100</v>
      </c>
      <c r="S20" s="157">
        <v>100</v>
      </c>
    </row>
    <row r="21" spans="1:19" ht="204.75">
      <c r="A21" s="148" t="s">
        <v>51</v>
      </c>
      <c r="B21" s="149">
        <v>1010</v>
      </c>
      <c r="C21" s="150" t="s">
        <v>563</v>
      </c>
      <c r="D21" s="150" t="s">
        <v>564</v>
      </c>
      <c r="E21" s="150" t="s">
        <v>565</v>
      </c>
      <c r="F21" s="150" t="s">
        <v>566</v>
      </c>
      <c r="G21" s="150" t="s">
        <v>568</v>
      </c>
      <c r="H21" s="163" t="s">
        <v>567</v>
      </c>
      <c r="I21" s="170" t="s">
        <v>853</v>
      </c>
      <c r="J21" s="164" t="s">
        <v>855</v>
      </c>
      <c r="K21" s="164" t="s">
        <v>854</v>
      </c>
      <c r="L21" s="153" t="s">
        <v>309</v>
      </c>
      <c r="M21" s="154" t="s">
        <v>310</v>
      </c>
      <c r="N21" s="155">
        <f>2520.3+3927.8+3428.4+7003.2+90.1+2130.2</f>
        <v>19100</v>
      </c>
      <c r="O21" s="156">
        <f>2520.3+3927.8+3428.4+90.1+7003.2+2130.2</f>
        <v>19100</v>
      </c>
      <c r="P21" s="156">
        <v>0</v>
      </c>
      <c r="Q21" s="156">
        <v>0</v>
      </c>
      <c r="R21" s="156">
        <v>0</v>
      </c>
      <c r="S21" s="156">
        <v>0</v>
      </c>
    </row>
    <row r="22" spans="1:19" ht="47.25">
      <c r="A22" s="148" t="s">
        <v>52</v>
      </c>
      <c r="B22" s="158">
        <v>1011</v>
      </c>
      <c r="C22" s="150"/>
      <c r="D22" s="150"/>
      <c r="E22" s="150"/>
      <c r="F22" s="150"/>
      <c r="G22" s="150"/>
      <c r="H22" s="150"/>
      <c r="I22" s="171"/>
      <c r="J22" s="171"/>
      <c r="K22" s="171"/>
      <c r="L22" s="153"/>
      <c r="M22" s="154"/>
      <c r="N22" s="159"/>
      <c r="O22" s="156"/>
      <c r="P22" s="156"/>
      <c r="Q22" s="157"/>
      <c r="R22" s="157"/>
      <c r="S22" s="157"/>
    </row>
    <row r="23" spans="1:19" ht="78.75">
      <c r="A23" s="148" t="s">
        <v>53</v>
      </c>
      <c r="B23" s="149">
        <v>1012</v>
      </c>
      <c r="C23" s="150"/>
      <c r="D23" s="150"/>
      <c r="E23" s="150"/>
      <c r="F23" s="150"/>
      <c r="G23" s="150"/>
      <c r="H23" s="150"/>
      <c r="I23" s="150"/>
      <c r="J23" s="150"/>
      <c r="K23" s="150"/>
      <c r="L23" s="153"/>
      <c r="M23" s="154"/>
      <c r="N23" s="159"/>
      <c r="O23" s="156"/>
      <c r="P23" s="156"/>
      <c r="Q23" s="157"/>
      <c r="R23" s="157"/>
      <c r="S23" s="157"/>
    </row>
    <row r="24" spans="1:19" ht="94.5">
      <c r="A24" s="148" t="s">
        <v>54</v>
      </c>
      <c r="B24" s="158">
        <v>1013</v>
      </c>
      <c r="C24" s="150"/>
      <c r="D24" s="150"/>
      <c r="E24" s="150"/>
      <c r="F24" s="150"/>
      <c r="G24" s="150"/>
      <c r="H24" s="150"/>
      <c r="I24" s="172"/>
      <c r="J24" s="172"/>
      <c r="K24" s="172"/>
      <c r="L24" s="153"/>
      <c r="M24" s="154"/>
      <c r="N24" s="159"/>
      <c r="O24" s="156"/>
      <c r="P24" s="156"/>
      <c r="Q24" s="157"/>
      <c r="R24" s="157"/>
      <c r="S24" s="157"/>
    </row>
    <row r="25" spans="1:19" ht="126">
      <c r="A25" s="148" t="s">
        <v>55</v>
      </c>
      <c r="B25" s="149">
        <v>1014</v>
      </c>
      <c r="C25" s="150" t="s">
        <v>1018</v>
      </c>
      <c r="D25" s="150" t="s">
        <v>374</v>
      </c>
      <c r="E25" s="150" t="s">
        <v>375</v>
      </c>
      <c r="F25" s="150"/>
      <c r="G25" s="150"/>
      <c r="H25" s="163"/>
      <c r="I25" s="170" t="s">
        <v>856</v>
      </c>
      <c r="J25" s="164" t="s">
        <v>857</v>
      </c>
      <c r="K25" s="164" t="s">
        <v>858</v>
      </c>
      <c r="L25" s="153" t="s">
        <v>306</v>
      </c>
      <c r="M25" s="154" t="s">
        <v>304</v>
      </c>
      <c r="N25" s="159">
        <f>943</f>
        <v>943</v>
      </c>
      <c r="O25" s="156">
        <v>942.7</v>
      </c>
      <c r="P25" s="156">
        <f>185+808</f>
        <v>993</v>
      </c>
      <c r="Q25" s="157">
        <v>0</v>
      </c>
      <c r="R25" s="157">
        <v>800</v>
      </c>
      <c r="S25" s="157">
        <v>800</v>
      </c>
    </row>
    <row r="26" spans="1:19" ht="393.75">
      <c r="A26" s="148" t="s">
        <v>56</v>
      </c>
      <c r="B26" s="158">
        <v>1015</v>
      </c>
      <c r="C26" s="150" t="s">
        <v>810</v>
      </c>
      <c r="D26" s="150" t="s">
        <v>809</v>
      </c>
      <c r="E26" s="150" t="s">
        <v>808</v>
      </c>
      <c r="F26" s="173" t="s">
        <v>811</v>
      </c>
      <c r="G26" s="173" t="s">
        <v>813</v>
      </c>
      <c r="H26" s="173" t="s">
        <v>812</v>
      </c>
      <c r="I26" s="174" t="s">
        <v>814</v>
      </c>
      <c r="J26" s="174" t="s">
        <v>816</v>
      </c>
      <c r="K26" s="174" t="s">
        <v>815</v>
      </c>
      <c r="L26" s="153" t="s">
        <v>319</v>
      </c>
      <c r="M26" s="154" t="s">
        <v>320</v>
      </c>
      <c r="N26" s="155">
        <f>232916.9+11310+83267.1+890.9+8749.9+5160.9+38356+3439.8+5570+2380.9+56.1+1071.6+5230.6+100+50+7807.6+10031+114016.4+4914.7+524.7+3487.8+103671.7+348.4+7807.6+50456.4+10620.8+546.8+799.3+9340.9+79.9+623.3+19426.4+100+1349.5+577.8+365.3+1450+1</f>
        <v>746898.0000000002</v>
      </c>
      <c r="O26" s="156">
        <f>82607.5+8576.6+5151.5+37706.3+3439.8+5570+2380.9+56.1+890.7+348.2+492.5+11310+50+7807.6+100+9355.5+113975.8+4853+520.8+3306+103671.7+256.3+7807.6+50263.3+9632.1+546.8+770.4+79.9+550.8+19417.3+100+1349.5+9328.9+232916.9+1071.6+5230.6+1450</f>
        <v>742942.5</v>
      </c>
      <c r="P26" s="156">
        <f>97768.6+2964.6+10831.1+57975.7+25019.3+1240.7+7846.2+118143.3+624.7+11942.3+348.4+684.2+5205.5+4192.2+46184.2+9207.2+200+650+20520+62460.6+30+656.9+575+9229.4+539.7+269.9+38.1+19.1+19269.6</f>
        <v>514636.50000000006</v>
      </c>
      <c r="Q26" s="157">
        <f>97768.6+10831.1+118143.3+11942.3+348.4+5205.5+684.2+4192.2+46184.2+8837.2+200+62460.6+30+656.9+47032.3+15677.4+575+9229.4+19269.6+269.9+38.1+19.1+539.7+0.7</f>
        <v>460135.7</v>
      </c>
      <c r="R26" s="157">
        <f>97768.6+10831.1+118143.3+11942.3+348.4+5205.5+684.2+4192.2+46184.2+8492.7+200+62460.6+30+656.9+575.5+9229.4+19269.6-0.5</f>
        <v>396214</v>
      </c>
      <c r="S26" s="157">
        <f>97768.6+10831.1+118143.3+11942.3+348.4+5205.5+684.2+4192.2+46184.2+8492.7+200+62460.6+30+656.9+575.5+9229.4+19269.6-0.5</f>
        <v>396214</v>
      </c>
    </row>
    <row r="27" spans="1:19" ht="346.5">
      <c r="A27" s="148"/>
      <c r="B27" s="158"/>
      <c r="C27" s="150"/>
      <c r="D27" s="150"/>
      <c r="E27" s="150"/>
      <c r="F27" s="173"/>
      <c r="G27" s="173"/>
      <c r="H27" s="173"/>
      <c r="I27" s="173" t="s">
        <v>1036</v>
      </c>
      <c r="J27" s="173" t="s">
        <v>817</v>
      </c>
      <c r="K27" s="173" t="s">
        <v>818</v>
      </c>
      <c r="L27" s="153"/>
      <c r="M27" s="154"/>
      <c r="N27" s="155"/>
      <c r="O27" s="156"/>
      <c r="P27" s="156"/>
      <c r="Q27" s="157"/>
      <c r="R27" s="157"/>
      <c r="S27" s="157"/>
    </row>
    <row r="28" spans="1:19" ht="330.75">
      <c r="A28" s="148"/>
      <c r="B28" s="158"/>
      <c r="C28" s="150"/>
      <c r="D28" s="150"/>
      <c r="E28" s="150"/>
      <c r="F28" s="173"/>
      <c r="G28" s="173"/>
      <c r="H28" s="173"/>
      <c r="I28" s="175" t="s">
        <v>901</v>
      </c>
      <c r="J28" s="176" t="s">
        <v>902</v>
      </c>
      <c r="K28" s="176" t="s">
        <v>903</v>
      </c>
      <c r="L28" s="153"/>
      <c r="M28" s="154"/>
      <c r="N28" s="155"/>
      <c r="O28" s="156"/>
      <c r="P28" s="156"/>
      <c r="Q28" s="157"/>
      <c r="R28" s="157"/>
      <c r="S28" s="157"/>
    </row>
    <row r="29" spans="1:19" ht="315">
      <c r="A29" s="148"/>
      <c r="B29" s="158"/>
      <c r="C29" s="150"/>
      <c r="D29" s="150"/>
      <c r="E29" s="150"/>
      <c r="F29" s="173"/>
      <c r="G29" s="173"/>
      <c r="H29" s="177"/>
      <c r="I29" s="178" t="s">
        <v>1019</v>
      </c>
      <c r="J29" s="179" t="s">
        <v>904</v>
      </c>
      <c r="K29" s="180" t="s">
        <v>905</v>
      </c>
      <c r="L29" s="153"/>
      <c r="M29" s="154"/>
      <c r="N29" s="155"/>
      <c r="O29" s="156"/>
      <c r="P29" s="156"/>
      <c r="Q29" s="157"/>
      <c r="R29" s="157"/>
      <c r="S29" s="157"/>
    </row>
    <row r="30" spans="1:19" ht="409.5" customHeight="1">
      <c r="A30" s="148"/>
      <c r="B30" s="158"/>
      <c r="C30" s="150"/>
      <c r="D30" s="150"/>
      <c r="E30" s="150"/>
      <c r="F30" s="173"/>
      <c r="G30" s="173"/>
      <c r="H30" s="177"/>
      <c r="I30" s="181" t="s">
        <v>930</v>
      </c>
      <c r="J30" s="182" t="s">
        <v>906</v>
      </c>
      <c r="K30" s="183" t="s">
        <v>907</v>
      </c>
      <c r="L30" s="153"/>
      <c r="M30" s="154"/>
      <c r="N30" s="155"/>
      <c r="O30" s="156"/>
      <c r="P30" s="156"/>
      <c r="Q30" s="157"/>
      <c r="R30" s="157"/>
      <c r="S30" s="157"/>
    </row>
    <row r="31" spans="1:19" ht="299.25">
      <c r="A31" s="148"/>
      <c r="B31" s="158"/>
      <c r="C31" s="150"/>
      <c r="D31" s="150"/>
      <c r="E31" s="150"/>
      <c r="F31" s="173"/>
      <c r="G31" s="173"/>
      <c r="H31" s="177"/>
      <c r="I31" s="184" t="s">
        <v>934</v>
      </c>
      <c r="J31" s="185"/>
      <c r="K31" s="186"/>
      <c r="L31" s="153"/>
      <c r="M31" s="154"/>
      <c r="N31" s="155"/>
      <c r="O31" s="156"/>
      <c r="P31" s="156"/>
      <c r="Q31" s="157"/>
      <c r="R31" s="157"/>
      <c r="S31" s="157"/>
    </row>
    <row r="32" spans="1:19" ht="315">
      <c r="A32" s="148" t="s">
        <v>57</v>
      </c>
      <c r="B32" s="149">
        <v>1016</v>
      </c>
      <c r="C32" s="150" t="s">
        <v>368</v>
      </c>
      <c r="D32" s="150" t="s">
        <v>377</v>
      </c>
      <c r="E32" s="150" t="s">
        <v>376</v>
      </c>
      <c r="F32" s="150"/>
      <c r="G32" s="150"/>
      <c r="H32" s="150"/>
      <c r="I32" s="171" t="s">
        <v>935</v>
      </c>
      <c r="J32" s="171"/>
      <c r="K32" s="171"/>
      <c r="L32" s="153" t="s">
        <v>311</v>
      </c>
      <c r="M32" s="154" t="s">
        <v>302</v>
      </c>
      <c r="N32" s="155">
        <f>24074.5</f>
        <v>24074.5</v>
      </c>
      <c r="O32" s="156">
        <f>164.7+8632.1+1317.5+1941.7+12.4+26.9+82.9+11333</f>
        <v>23511.2</v>
      </c>
      <c r="P32" s="156">
        <v>0</v>
      </c>
      <c r="Q32" s="156">
        <v>0</v>
      </c>
      <c r="R32" s="156">
        <v>0</v>
      </c>
      <c r="S32" s="156">
        <v>0</v>
      </c>
    </row>
    <row r="33" spans="1:19" ht="110.25">
      <c r="A33" s="148" t="s">
        <v>58</v>
      </c>
      <c r="B33" s="158">
        <v>1017</v>
      </c>
      <c r="C33" s="150"/>
      <c r="D33" s="150"/>
      <c r="E33" s="150"/>
      <c r="F33" s="150"/>
      <c r="G33" s="150"/>
      <c r="H33" s="150"/>
      <c r="I33" s="150"/>
      <c r="J33" s="150"/>
      <c r="K33" s="150"/>
      <c r="L33" s="153"/>
      <c r="M33" s="154"/>
      <c r="N33" s="159"/>
      <c r="O33" s="156"/>
      <c r="P33" s="156"/>
      <c r="Q33" s="157"/>
      <c r="R33" s="157"/>
      <c r="S33" s="157"/>
    </row>
    <row r="34" spans="1:19" ht="346.5">
      <c r="A34" s="148" t="s">
        <v>353</v>
      </c>
      <c r="B34" s="149">
        <v>1018</v>
      </c>
      <c r="C34" s="150" t="s">
        <v>378</v>
      </c>
      <c r="D34" s="150" t="s">
        <v>392</v>
      </c>
      <c r="E34" s="150" t="s">
        <v>379</v>
      </c>
      <c r="F34" s="150"/>
      <c r="G34" s="150"/>
      <c r="H34" s="150"/>
      <c r="I34" s="187" t="s">
        <v>1004</v>
      </c>
      <c r="J34" s="169" t="s">
        <v>937</v>
      </c>
      <c r="K34" s="169" t="s">
        <v>938</v>
      </c>
      <c r="L34" s="153" t="s">
        <v>300</v>
      </c>
      <c r="M34" s="154" t="s">
        <v>312</v>
      </c>
      <c r="N34" s="155">
        <f>3596+1880.9+1636.4+483</f>
        <v>7596.299999999999</v>
      </c>
      <c r="O34" s="156">
        <f>3595.1+1464.4+1636.4+483</f>
        <v>7178.9</v>
      </c>
      <c r="P34" s="156">
        <f>3355+5000+400</f>
        <v>8755</v>
      </c>
      <c r="Q34" s="157">
        <v>400</v>
      </c>
      <c r="R34" s="157">
        <f>3355+5000+400</f>
        <v>8755</v>
      </c>
      <c r="S34" s="157">
        <f>3355+5000+400</f>
        <v>8755</v>
      </c>
    </row>
    <row r="35" spans="1:19" ht="110.25">
      <c r="A35" s="148"/>
      <c r="B35" s="149"/>
      <c r="C35" s="150"/>
      <c r="D35" s="150"/>
      <c r="E35" s="150"/>
      <c r="F35" s="150"/>
      <c r="G35" s="150"/>
      <c r="H35" s="150"/>
      <c r="I35" s="187" t="s">
        <v>936</v>
      </c>
      <c r="J35" s="169"/>
      <c r="K35" s="169"/>
      <c r="L35" s="153"/>
      <c r="M35" s="154"/>
      <c r="N35" s="155"/>
      <c r="O35" s="156"/>
      <c r="P35" s="156"/>
      <c r="Q35" s="157"/>
      <c r="R35" s="157"/>
      <c r="S35" s="157"/>
    </row>
    <row r="36" spans="1:19" ht="173.25">
      <c r="A36" s="148" t="s">
        <v>59</v>
      </c>
      <c r="B36" s="158">
        <v>1019</v>
      </c>
      <c r="C36" s="150"/>
      <c r="D36" s="150"/>
      <c r="E36" s="150"/>
      <c r="F36" s="150"/>
      <c r="G36" s="150"/>
      <c r="H36" s="150"/>
      <c r="I36" s="150"/>
      <c r="J36" s="150"/>
      <c r="K36" s="150"/>
      <c r="L36" s="153"/>
      <c r="M36" s="154"/>
      <c r="N36" s="159"/>
      <c r="O36" s="156"/>
      <c r="P36" s="156"/>
      <c r="Q36" s="157"/>
      <c r="R36" s="157"/>
      <c r="S36" s="157"/>
    </row>
    <row r="37" spans="1:19" ht="409.5">
      <c r="A37" s="148" t="s">
        <v>60</v>
      </c>
      <c r="B37" s="149">
        <v>1020</v>
      </c>
      <c r="C37" s="150" t="s">
        <v>380</v>
      </c>
      <c r="D37" s="150" t="s">
        <v>381</v>
      </c>
      <c r="E37" s="150" t="s">
        <v>382</v>
      </c>
      <c r="F37" s="188" t="s">
        <v>389</v>
      </c>
      <c r="G37" s="189" t="s">
        <v>390</v>
      </c>
      <c r="H37" s="189" t="s">
        <v>391</v>
      </c>
      <c r="I37" s="169" t="s">
        <v>1037</v>
      </c>
      <c r="J37" s="169" t="s">
        <v>885</v>
      </c>
      <c r="K37" s="169" t="s">
        <v>886</v>
      </c>
      <c r="L37" s="153" t="s">
        <v>299</v>
      </c>
      <c r="M37" s="154" t="s">
        <v>300</v>
      </c>
      <c r="N37" s="155">
        <f>7005.6</f>
        <v>7005.6</v>
      </c>
      <c r="O37" s="156">
        <v>7005.5</v>
      </c>
      <c r="P37" s="156">
        <f>4860</f>
        <v>4860</v>
      </c>
      <c r="Q37" s="157">
        <f>4860</f>
        <v>4860</v>
      </c>
      <c r="R37" s="157">
        <f>4860</f>
        <v>4860</v>
      </c>
      <c r="S37" s="157">
        <f>4860</f>
        <v>4860</v>
      </c>
    </row>
    <row r="38" spans="1:19" ht="283.5">
      <c r="A38" s="148" t="s">
        <v>61</v>
      </c>
      <c r="B38" s="158">
        <v>1021</v>
      </c>
      <c r="C38" s="150" t="s">
        <v>573</v>
      </c>
      <c r="D38" s="150" t="s">
        <v>572</v>
      </c>
      <c r="E38" s="150" t="s">
        <v>574</v>
      </c>
      <c r="F38" s="150"/>
      <c r="G38" s="150"/>
      <c r="H38" s="163"/>
      <c r="I38" s="162" t="s">
        <v>1020</v>
      </c>
      <c r="J38" s="170" t="s">
        <v>859</v>
      </c>
      <c r="K38" s="170" t="s">
        <v>860</v>
      </c>
      <c r="L38" s="153" t="s">
        <v>304</v>
      </c>
      <c r="M38" s="154" t="s">
        <v>298</v>
      </c>
      <c r="N38" s="159">
        <f>349.8+217.6</f>
        <v>567.4</v>
      </c>
      <c r="O38" s="156">
        <f>282.2+217.5</f>
        <v>499.7</v>
      </c>
      <c r="P38" s="156">
        <f>264.2+717.6</f>
        <v>981.8</v>
      </c>
      <c r="Q38" s="157">
        <f>264.2+217.6</f>
        <v>481.79999999999995</v>
      </c>
      <c r="R38" s="157">
        <f>264.2+217.6</f>
        <v>481.79999999999995</v>
      </c>
      <c r="S38" s="157">
        <f>264.2+217.6</f>
        <v>481.79999999999995</v>
      </c>
    </row>
    <row r="39" spans="1:19" ht="78.75">
      <c r="A39" s="148" t="s">
        <v>62</v>
      </c>
      <c r="B39" s="149">
        <v>1022</v>
      </c>
      <c r="C39" s="150"/>
      <c r="D39" s="150"/>
      <c r="E39" s="150"/>
      <c r="F39" s="150"/>
      <c r="G39" s="150"/>
      <c r="H39" s="150"/>
      <c r="I39" s="150"/>
      <c r="J39" s="150"/>
      <c r="K39" s="150"/>
      <c r="L39" s="153"/>
      <c r="M39" s="154"/>
      <c r="N39" s="159"/>
      <c r="O39" s="156"/>
      <c r="P39" s="156"/>
      <c r="Q39" s="157"/>
      <c r="R39" s="157"/>
      <c r="S39" s="157"/>
    </row>
    <row r="40" spans="1:19" ht="78.75">
      <c r="A40" s="148" t="s">
        <v>63</v>
      </c>
      <c r="B40" s="158">
        <v>1023</v>
      </c>
      <c r="C40" s="150"/>
      <c r="D40" s="150"/>
      <c r="E40" s="150"/>
      <c r="F40" s="150"/>
      <c r="G40" s="150"/>
      <c r="H40" s="150"/>
      <c r="I40" s="150"/>
      <c r="J40" s="150"/>
      <c r="K40" s="150"/>
      <c r="L40" s="190"/>
      <c r="M40" s="154"/>
      <c r="N40" s="159"/>
      <c r="O40" s="156"/>
      <c r="P40" s="156"/>
      <c r="Q40" s="157"/>
      <c r="R40" s="157"/>
      <c r="S40" s="157"/>
    </row>
    <row r="41" spans="1:19" ht="378">
      <c r="A41" s="148" t="s">
        <v>64</v>
      </c>
      <c r="B41" s="149">
        <v>1024</v>
      </c>
      <c r="C41" s="150" t="s">
        <v>386</v>
      </c>
      <c r="D41" s="150" t="s">
        <v>388</v>
      </c>
      <c r="E41" s="150" t="s">
        <v>387</v>
      </c>
      <c r="F41" s="173" t="s">
        <v>383</v>
      </c>
      <c r="G41" s="173" t="s">
        <v>384</v>
      </c>
      <c r="H41" s="173" t="s">
        <v>385</v>
      </c>
      <c r="I41" s="173" t="s">
        <v>821</v>
      </c>
      <c r="J41" s="191" t="s">
        <v>823</v>
      </c>
      <c r="K41" s="173" t="s">
        <v>822</v>
      </c>
      <c r="L41" s="192" t="s">
        <v>820</v>
      </c>
      <c r="M41" s="153" t="s">
        <v>328</v>
      </c>
      <c r="N41" s="155">
        <f>50+3478.4+30500+5391.4+43.2</f>
        <v>39463</v>
      </c>
      <c r="O41" s="156">
        <f>5388.6+43.2+3474+28186.1+50</f>
        <v>37141.899999999994</v>
      </c>
      <c r="P41" s="156">
        <f>1740+10500+8546.2+6269.2-8546.2</f>
        <v>18509.2</v>
      </c>
      <c r="Q41" s="157">
        <f>1000+6269.2</f>
        <v>7269.2</v>
      </c>
      <c r="R41" s="157">
        <f>1740+6269.2</f>
        <v>8009.2</v>
      </c>
      <c r="S41" s="157">
        <f>1740+6269.2</f>
        <v>8009.2</v>
      </c>
    </row>
    <row r="42" spans="1:19" ht="409.5">
      <c r="A42" s="148"/>
      <c r="B42" s="149"/>
      <c r="C42" s="150"/>
      <c r="D42" s="150"/>
      <c r="E42" s="150"/>
      <c r="F42" s="173"/>
      <c r="G42" s="173"/>
      <c r="H42" s="173"/>
      <c r="I42" s="193" t="s">
        <v>966</v>
      </c>
      <c r="J42" s="191" t="s">
        <v>825</v>
      </c>
      <c r="K42" s="173" t="s">
        <v>824</v>
      </c>
      <c r="L42" s="192"/>
      <c r="M42" s="153"/>
      <c r="N42" s="155"/>
      <c r="O42" s="156"/>
      <c r="P42" s="156"/>
      <c r="Q42" s="157"/>
      <c r="R42" s="157"/>
      <c r="S42" s="157"/>
    </row>
    <row r="43" spans="1:19" ht="63">
      <c r="A43" s="148" t="s">
        <v>65</v>
      </c>
      <c r="B43" s="158">
        <v>1025</v>
      </c>
      <c r="C43" s="150"/>
      <c r="D43" s="150"/>
      <c r="E43" s="150"/>
      <c r="F43" s="150"/>
      <c r="G43" s="150"/>
      <c r="H43" s="150"/>
      <c r="I43" s="150"/>
      <c r="J43" s="150"/>
      <c r="K43" s="150"/>
      <c r="L43" s="153"/>
      <c r="M43" s="154"/>
      <c r="N43" s="159"/>
      <c r="O43" s="156"/>
      <c r="P43" s="156"/>
      <c r="Q43" s="157"/>
      <c r="R43" s="157"/>
      <c r="S43" s="157"/>
    </row>
    <row r="44" spans="1:19" ht="141.75">
      <c r="A44" s="148" t="s">
        <v>66</v>
      </c>
      <c r="B44" s="149">
        <v>1026</v>
      </c>
      <c r="C44" s="150"/>
      <c r="D44" s="150"/>
      <c r="E44" s="150"/>
      <c r="F44" s="150"/>
      <c r="G44" s="150"/>
      <c r="H44" s="150"/>
      <c r="I44" s="150"/>
      <c r="J44" s="150"/>
      <c r="K44" s="150"/>
      <c r="L44" s="153"/>
      <c r="M44" s="154"/>
      <c r="N44" s="159"/>
      <c r="O44" s="156"/>
      <c r="P44" s="156"/>
      <c r="Q44" s="157"/>
      <c r="R44" s="157"/>
      <c r="S44" s="157"/>
    </row>
    <row r="45" spans="1:19" ht="409.5">
      <c r="A45" s="148" t="s">
        <v>67</v>
      </c>
      <c r="B45" s="194">
        <v>1027</v>
      </c>
      <c r="C45" s="162" t="s">
        <v>396</v>
      </c>
      <c r="D45" s="162" t="s">
        <v>398</v>
      </c>
      <c r="E45" s="150" t="s">
        <v>397</v>
      </c>
      <c r="F45" s="188" t="s">
        <v>394</v>
      </c>
      <c r="G45" s="189" t="s">
        <v>393</v>
      </c>
      <c r="H45" s="189" t="s">
        <v>395</v>
      </c>
      <c r="I45" s="168" t="s">
        <v>1038</v>
      </c>
      <c r="J45" s="169" t="s">
        <v>887</v>
      </c>
      <c r="K45" s="169" t="s">
        <v>888</v>
      </c>
      <c r="L45" s="153" t="s">
        <v>351</v>
      </c>
      <c r="M45" s="154" t="s">
        <v>352</v>
      </c>
      <c r="N45" s="155">
        <f>10497.1+798.5+2542.7-2432.7</f>
        <v>11405.599999999999</v>
      </c>
      <c r="O45" s="156">
        <f>10464.3+798.5+2542.7-2432.7</f>
        <v>11372.8</v>
      </c>
      <c r="P45" s="156">
        <f>470+10+140+60+10372.2+2187.7+1692.3+70+40-100</f>
        <v>14942.2</v>
      </c>
      <c r="Q45" s="157">
        <f>10+10372.2+2003+1877-100</f>
        <v>14162.2</v>
      </c>
      <c r="R45" s="157">
        <f>470+10+140+60+10372.2+1997+1883-100</f>
        <v>14832.2</v>
      </c>
      <c r="S45" s="157">
        <f>470+10+140+60+10372.2+1997+1883-100</f>
        <v>14832.2</v>
      </c>
    </row>
    <row r="46" spans="1:19" ht="126">
      <c r="A46" s="148" t="s">
        <v>68</v>
      </c>
      <c r="B46" s="149">
        <v>1028</v>
      </c>
      <c r="C46" s="150"/>
      <c r="D46" s="150"/>
      <c r="E46" s="150"/>
      <c r="F46" s="150"/>
      <c r="G46" s="150"/>
      <c r="H46" s="150"/>
      <c r="I46" s="150"/>
      <c r="J46" s="150"/>
      <c r="K46" s="150"/>
      <c r="L46" s="153"/>
      <c r="M46" s="154"/>
      <c r="N46" s="159"/>
      <c r="O46" s="156"/>
      <c r="P46" s="156"/>
      <c r="Q46" s="157"/>
      <c r="R46" s="157"/>
      <c r="S46" s="157"/>
    </row>
    <row r="47" spans="1:19" ht="78.75">
      <c r="A47" s="148" t="s">
        <v>69</v>
      </c>
      <c r="B47" s="158">
        <v>1029</v>
      </c>
      <c r="C47" s="150"/>
      <c r="D47" s="150"/>
      <c r="E47" s="150"/>
      <c r="F47" s="150"/>
      <c r="G47" s="150"/>
      <c r="H47" s="150"/>
      <c r="I47" s="150"/>
      <c r="J47" s="150"/>
      <c r="K47" s="150"/>
      <c r="L47" s="153"/>
      <c r="M47" s="154"/>
      <c r="N47" s="159"/>
      <c r="O47" s="156"/>
      <c r="P47" s="156"/>
      <c r="Q47" s="157"/>
      <c r="R47" s="157"/>
      <c r="S47" s="157"/>
    </row>
    <row r="48" spans="1:19" ht="63">
      <c r="A48" s="148" t="s">
        <v>70</v>
      </c>
      <c r="B48" s="149">
        <v>1030</v>
      </c>
      <c r="C48" s="150" t="s">
        <v>399</v>
      </c>
      <c r="D48" s="150" t="s">
        <v>400</v>
      </c>
      <c r="E48" s="150" t="s">
        <v>358</v>
      </c>
      <c r="F48" s="150"/>
      <c r="G48" s="150"/>
      <c r="H48" s="150"/>
      <c r="I48" s="150"/>
      <c r="J48" s="172"/>
      <c r="K48" s="172"/>
      <c r="L48" s="153" t="s">
        <v>298</v>
      </c>
      <c r="M48" s="154" t="s">
        <v>311</v>
      </c>
      <c r="N48" s="159">
        <v>0</v>
      </c>
      <c r="O48" s="156">
        <v>0</v>
      </c>
      <c r="P48" s="156">
        <v>5</v>
      </c>
      <c r="Q48" s="156">
        <v>5</v>
      </c>
      <c r="R48" s="156">
        <v>5</v>
      </c>
      <c r="S48" s="156">
        <v>5</v>
      </c>
    </row>
    <row r="49" spans="1:19" ht="409.5">
      <c r="A49" s="148" t="s">
        <v>71</v>
      </c>
      <c r="B49" s="158">
        <v>1031</v>
      </c>
      <c r="C49" s="150" t="s">
        <v>403</v>
      </c>
      <c r="D49" s="150" t="s">
        <v>401</v>
      </c>
      <c r="E49" s="150" t="s">
        <v>402</v>
      </c>
      <c r="F49" s="195" t="s">
        <v>1040</v>
      </c>
      <c r="G49" s="195" t="s">
        <v>404</v>
      </c>
      <c r="H49" s="195" t="s">
        <v>405</v>
      </c>
      <c r="I49" s="177" t="s">
        <v>968</v>
      </c>
      <c r="J49" s="196" t="s">
        <v>842</v>
      </c>
      <c r="K49" s="197" t="s">
        <v>841</v>
      </c>
      <c r="L49" s="153" t="s">
        <v>323</v>
      </c>
      <c r="M49" s="154" t="s">
        <v>324</v>
      </c>
      <c r="N49" s="155">
        <f>872+8661.7+9606+70.5+4500+917+2491.9+8487.8+1370.1+963-380</f>
        <v>37560</v>
      </c>
      <c r="O49" s="156">
        <f>872+8661.7+4500+917+2491.9+70.5+9606+8487.8+1370.1+463-380</f>
        <v>37060</v>
      </c>
      <c r="P49" s="156">
        <f>898+310+2190+2000+917+8714.5+20+350+550+1450+158.4+600-400</f>
        <v>17757.9</v>
      </c>
      <c r="Q49" s="157">
        <f>8714.5</f>
        <v>8714.5</v>
      </c>
      <c r="R49" s="157">
        <f>310+2190+2000+917+8714.5+20+350+550+1450+158.4</f>
        <v>16659.9</v>
      </c>
      <c r="S49" s="157">
        <f>310+2190+2000+917+8714.5+20+350+550+1450+158.4</f>
        <v>16659.9</v>
      </c>
    </row>
    <row r="50" spans="1:19" ht="283.5">
      <c r="A50" s="148"/>
      <c r="B50" s="158"/>
      <c r="C50" s="150"/>
      <c r="D50" s="150"/>
      <c r="E50" s="150"/>
      <c r="F50" s="195" t="s">
        <v>967</v>
      </c>
      <c r="G50" s="195"/>
      <c r="H50" s="195"/>
      <c r="I50" s="173" t="s">
        <v>969</v>
      </c>
      <c r="J50" s="174"/>
      <c r="K50" s="174"/>
      <c r="L50" s="198"/>
      <c r="M50" s="154"/>
      <c r="N50" s="155"/>
      <c r="O50" s="156"/>
      <c r="P50" s="156"/>
      <c r="Q50" s="157"/>
      <c r="R50" s="157"/>
      <c r="S50" s="157"/>
    </row>
    <row r="51" spans="1:19" ht="409.5">
      <c r="A51" s="148"/>
      <c r="B51" s="158"/>
      <c r="C51" s="150"/>
      <c r="D51" s="150"/>
      <c r="E51" s="150"/>
      <c r="F51" s="195"/>
      <c r="G51" s="195"/>
      <c r="H51" s="195"/>
      <c r="I51" s="189" t="s">
        <v>1039</v>
      </c>
      <c r="J51" s="173"/>
      <c r="K51" s="173"/>
      <c r="L51" s="198"/>
      <c r="M51" s="154"/>
      <c r="N51" s="155"/>
      <c r="O51" s="156"/>
      <c r="P51" s="156"/>
      <c r="Q51" s="157"/>
      <c r="R51" s="157"/>
      <c r="S51" s="157"/>
    </row>
    <row r="52" spans="1:19" ht="204.75">
      <c r="A52" s="148"/>
      <c r="B52" s="158"/>
      <c r="C52" s="150"/>
      <c r="D52" s="150"/>
      <c r="E52" s="150"/>
      <c r="F52" s="195"/>
      <c r="G52" s="195"/>
      <c r="H52" s="195"/>
      <c r="I52" s="189" t="s">
        <v>1046</v>
      </c>
      <c r="J52" s="173"/>
      <c r="K52" s="173"/>
      <c r="L52" s="198"/>
      <c r="M52" s="154"/>
      <c r="N52" s="155"/>
      <c r="O52" s="156"/>
      <c r="P52" s="156"/>
      <c r="Q52" s="157"/>
      <c r="R52" s="157"/>
      <c r="S52" s="157"/>
    </row>
    <row r="53" spans="1:19" ht="126">
      <c r="A53" s="148"/>
      <c r="B53" s="158"/>
      <c r="C53" s="150"/>
      <c r="D53" s="150"/>
      <c r="E53" s="150"/>
      <c r="F53" s="195"/>
      <c r="G53" s="195"/>
      <c r="H53" s="195"/>
      <c r="I53" s="199" t="s">
        <v>1005</v>
      </c>
      <c r="J53" s="199"/>
      <c r="K53" s="200"/>
      <c r="L53" s="198"/>
      <c r="M53" s="153"/>
      <c r="N53" s="155"/>
      <c r="O53" s="156"/>
      <c r="P53" s="156"/>
      <c r="Q53" s="157"/>
      <c r="R53" s="157"/>
      <c r="S53" s="157"/>
    </row>
    <row r="54" spans="1:19" ht="409.5">
      <c r="A54" s="148"/>
      <c r="B54" s="158"/>
      <c r="C54" s="150"/>
      <c r="D54" s="150"/>
      <c r="E54" s="150"/>
      <c r="F54" s="195"/>
      <c r="G54" s="195"/>
      <c r="H54" s="195"/>
      <c r="I54" s="319" t="s">
        <v>1011</v>
      </c>
      <c r="J54" s="196" t="s">
        <v>983</v>
      </c>
      <c r="K54" s="197" t="s">
        <v>984</v>
      </c>
      <c r="L54" s="198"/>
      <c r="M54" s="153"/>
      <c r="N54" s="155"/>
      <c r="O54" s="156"/>
      <c r="P54" s="156"/>
      <c r="Q54" s="157"/>
      <c r="R54" s="157"/>
      <c r="S54" s="157"/>
    </row>
    <row r="55" spans="1:19" ht="267.75">
      <c r="A55" s="148"/>
      <c r="B55" s="158"/>
      <c r="C55" s="150"/>
      <c r="D55" s="150"/>
      <c r="E55" s="150"/>
      <c r="F55" s="195"/>
      <c r="G55" s="195"/>
      <c r="H55" s="195"/>
      <c r="I55" s="320" t="s">
        <v>1047</v>
      </c>
      <c r="J55" s="196"/>
      <c r="K55" s="197"/>
      <c r="L55" s="198"/>
      <c r="M55" s="153"/>
      <c r="N55" s="155"/>
      <c r="O55" s="156"/>
      <c r="P55" s="156"/>
      <c r="Q55" s="157"/>
      <c r="R55" s="157"/>
      <c r="S55" s="157"/>
    </row>
    <row r="56" spans="1:19" ht="362.25">
      <c r="A56" s="148" t="s">
        <v>72</v>
      </c>
      <c r="B56" s="201">
        <v>1032</v>
      </c>
      <c r="C56" s="162" t="s">
        <v>413</v>
      </c>
      <c r="D56" s="162" t="s">
        <v>414</v>
      </c>
      <c r="E56" s="150" t="s">
        <v>415</v>
      </c>
      <c r="F56" s="173" t="s">
        <v>416</v>
      </c>
      <c r="G56" s="173" t="s">
        <v>417</v>
      </c>
      <c r="H56" s="173" t="s">
        <v>612</v>
      </c>
      <c r="I56" s="173" t="s">
        <v>829</v>
      </c>
      <c r="J56" s="173" t="s">
        <v>831</v>
      </c>
      <c r="K56" s="173" t="s">
        <v>830</v>
      </c>
      <c r="L56" s="202" t="s">
        <v>828</v>
      </c>
      <c r="M56" s="153" t="s">
        <v>313</v>
      </c>
      <c r="N56" s="155">
        <f>25519.6+65637.4</f>
        <v>91157</v>
      </c>
      <c r="O56" s="156">
        <f>19365.3+2504+500+241.1+2258.5+1494.5+3214.2+2190.7+603.4+8284.9+37000+2775</f>
        <v>80431.6</v>
      </c>
      <c r="P56" s="156">
        <f>19760</f>
        <v>19760</v>
      </c>
      <c r="Q56" s="157">
        <f>19760</f>
        <v>19760</v>
      </c>
      <c r="R56" s="157">
        <f>19760</f>
        <v>19760</v>
      </c>
      <c r="S56" s="157">
        <f>19760</f>
        <v>19760</v>
      </c>
    </row>
    <row r="57" spans="1:19" ht="275.25" customHeight="1">
      <c r="A57" s="148"/>
      <c r="B57" s="201"/>
      <c r="C57" s="162"/>
      <c r="D57" s="162"/>
      <c r="E57" s="150"/>
      <c r="F57" s="173"/>
      <c r="G57" s="173"/>
      <c r="H57" s="173"/>
      <c r="I57" s="173" t="s">
        <v>931</v>
      </c>
      <c r="J57" s="173"/>
      <c r="K57" s="173"/>
      <c r="L57" s="192"/>
      <c r="M57" s="153"/>
      <c r="N57" s="155"/>
      <c r="O57" s="156"/>
      <c r="P57" s="156"/>
      <c r="Q57" s="157"/>
      <c r="R57" s="157"/>
      <c r="S57" s="157"/>
    </row>
    <row r="58" spans="1:19" ht="330.75">
      <c r="A58" s="148" t="s">
        <v>73</v>
      </c>
      <c r="B58" s="158">
        <v>1033</v>
      </c>
      <c r="C58" s="150" t="s">
        <v>399</v>
      </c>
      <c r="D58" s="150" t="s">
        <v>412</v>
      </c>
      <c r="E58" s="150" t="s">
        <v>358</v>
      </c>
      <c r="F58" s="203" t="s">
        <v>418</v>
      </c>
      <c r="G58" s="202" t="s">
        <v>419</v>
      </c>
      <c r="H58" s="204" t="s">
        <v>420</v>
      </c>
      <c r="I58" s="173" t="s">
        <v>889</v>
      </c>
      <c r="J58" s="173" t="s">
        <v>891</v>
      </c>
      <c r="K58" s="173" t="s">
        <v>890</v>
      </c>
      <c r="L58" s="153" t="s">
        <v>317</v>
      </c>
      <c r="M58" s="154" t="s">
        <v>318</v>
      </c>
      <c r="N58" s="155">
        <f>6232.3+700+3327+200+6576.7</f>
        <v>17036</v>
      </c>
      <c r="O58" s="156">
        <f>5880.1+200+700+3327+6564</f>
        <v>16671.1</v>
      </c>
      <c r="P58" s="156">
        <f>550+120+7602.6+1000+300+130+2427</f>
        <v>12129.6</v>
      </c>
      <c r="Q58" s="157">
        <f>300+7602.6</f>
        <v>7902.6</v>
      </c>
      <c r="R58" s="157">
        <f>300+7602.6</f>
        <v>7902.6</v>
      </c>
      <c r="S58" s="157">
        <f>300+7602.6</f>
        <v>7902.6</v>
      </c>
    </row>
    <row r="59" spans="1:19" ht="173.25">
      <c r="A59" s="148"/>
      <c r="B59" s="158"/>
      <c r="C59" s="150"/>
      <c r="D59" s="150"/>
      <c r="E59" s="150"/>
      <c r="F59" s="203"/>
      <c r="G59" s="202"/>
      <c r="H59" s="204"/>
      <c r="I59" s="173" t="s">
        <v>1021</v>
      </c>
      <c r="J59" s="173"/>
      <c r="K59" s="173"/>
      <c r="L59" s="153"/>
      <c r="M59" s="154"/>
      <c r="N59" s="155"/>
      <c r="O59" s="156"/>
      <c r="P59" s="156"/>
      <c r="Q59" s="157"/>
      <c r="R59" s="157"/>
      <c r="S59" s="157"/>
    </row>
    <row r="60" spans="1:19" ht="141.75">
      <c r="A60" s="148" t="s">
        <v>74</v>
      </c>
      <c r="B60" s="149">
        <v>1034</v>
      </c>
      <c r="C60" s="150"/>
      <c r="D60" s="150"/>
      <c r="E60" s="150"/>
      <c r="F60" s="150"/>
      <c r="G60" s="150"/>
      <c r="H60" s="150"/>
      <c r="I60" s="150"/>
      <c r="J60" s="150"/>
      <c r="K60" s="150"/>
      <c r="L60" s="153"/>
      <c r="M60" s="154"/>
      <c r="N60" s="159"/>
      <c r="O60" s="156"/>
      <c r="P60" s="156"/>
      <c r="Q60" s="157"/>
      <c r="R60" s="157"/>
      <c r="S60" s="157"/>
    </row>
    <row r="61" spans="1:19" ht="31.5">
      <c r="A61" s="148" t="s">
        <v>75</v>
      </c>
      <c r="B61" s="158">
        <v>1035</v>
      </c>
      <c r="C61" s="150"/>
      <c r="D61" s="150"/>
      <c r="E61" s="150"/>
      <c r="F61" s="150"/>
      <c r="G61" s="150"/>
      <c r="H61" s="150"/>
      <c r="I61" s="150"/>
      <c r="J61" s="150"/>
      <c r="K61" s="150"/>
      <c r="L61" s="153"/>
      <c r="M61" s="154"/>
      <c r="N61" s="159"/>
      <c r="O61" s="156"/>
      <c r="P61" s="156"/>
      <c r="Q61" s="157"/>
      <c r="R61" s="157"/>
      <c r="S61" s="157"/>
    </row>
    <row r="62" spans="1:19" ht="126">
      <c r="A62" s="148" t="s">
        <v>76</v>
      </c>
      <c r="B62" s="149">
        <v>1036</v>
      </c>
      <c r="C62" s="150"/>
      <c r="D62" s="150"/>
      <c r="E62" s="150"/>
      <c r="F62" s="150"/>
      <c r="G62" s="150"/>
      <c r="H62" s="150"/>
      <c r="I62" s="150"/>
      <c r="J62" s="150"/>
      <c r="K62" s="150"/>
      <c r="L62" s="153"/>
      <c r="M62" s="154"/>
      <c r="N62" s="159"/>
      <c r="O62" s="156"/>
      <c r="P62" s="156"/>
      <c r="Q62" s="157"/>
      <c r="R62" s="157"/>
      <c r="S62" s="157"/>
    </row>
    <row r="63" spans="1:19" ht="47.25">
      <c r="A63" s="148" t="s">
        <v>77</v>
      </c>
      <c r="B63" s="158">
        <v>1037</v>
      </c>
      <c r="C63" s="150"/>
      <c r="D63" s="150"/>
      <c r="E63" s="150"/>
      <c r="F63" s="150"/>
      <c r="G63" s="150"/>
      <c r="H63" s="150"/>
      <c r="I63" s="150"/>
      <c r="J63" s="150"/>
      <c r="K63" s="150"/>
      <c r="L63" s="153"/>
      <c r="M63" s="154"/>
      <c r="N63" s="159"/>
      <c r="O63" s="156"/>
      <c r="P63" s="156"/>
      <c r="Q63" s="157"/>
      <c r="R63" s="157"/>
      <c r="S63" s="157"/>
    </row>
    <row r="64" spans="1:19" ht="204.75">
      <c r="A64" s="148" t="s">
        <v>78</v>
      </c>
      <c r="B64" s="149">
        <v>1038</v>
      </c>
      <c r="C64" s="150"/>
      <c r="D64" s="150"/>
      <c r="E64" s="150"/>
      <c r="F64" s="150"/>
      <c r="G64" s="150"/>
      <c r="H64" s="150"/>
      <c r="I64" s="150"/>
      <c r="J64" s="150"/>
      <c r="K64" s="150"/>
      <c r="L64" s="153"/>
      <c r="M64" s="154"/>
      <c r="N64" s="159"/>
      <c r="O64" s="156"/>
      <c r="P64" s="156"/>
      <c r="Q64" s="157"/>
      <c r="R64" s="157"/>
      <c r="S64" s="157"/>
    </row>
    <row r="65" spans="1:19" ht="47.25">
      <c r="A65" s="148" t="s">
        <v>79</v>
      </c>
      <c r="B65" s="158">
        <v>1039</v>
      </c>
      <c r="C65" s="150"/>
      <c r="D65" s="150"/>
      <c r="E65" s="150"/>
      <c r="F65" s="150"/>
      <c r="G65" s="150"/>
      <c r="H65" s="150"/>
      <c r="I65" s="172"/>
      <c r="J65" s="172"/>
      <c r="K65" s="172"/>
      <c r="L65" s="153"/>
      <c r="M65" s="154"/>
      <c r="N65" s="159"/>
      <c r="O65" s="156"/>
      <c r="P65" s="156"/>
      <c r="Q65" s="157"/>
      <c r="R65" s="157"/>
      <c r="S65" s="157"/>
    </row>
    <row r="66" spans="1:19" ht="110.25">
      <c r="A66" s="148" t="s">
        <v>80</v>
      </c>
      <c r="B66" s="149">
        <v>1040</v>
      </c>
      <c r="C66" s="150" t="s">
        <v>399</v>
      </c>
      <c r="D66" s="150" t="s">
        <v>421</v>
      </c>
      <c r="E66" s="150" t="s">
        <v>358</v>
      </c>
      <c r="F66" s="150"/>
      <c r="G66" s="150"/>
      <c r="H66" s="163"/>
      <c r="I66" s="205" t="s">
        <v>939</v>
      </c>
      <c r="J66" s="206"/>
      <c r="K66" s="202" t="s">
        <v>940</v>
      </c>
      <c r="L66" s="153" t="s">
        <v>303</v>
      </c>
      <c r="M66" s="154" t="s">
        <v>305</v>
      </c>
      <c r="N66" s="159">
        <f>0</f>
        <v>0</v>
      </c>
      <c r="O66" s="156">
        <v>0</v>
      </c>
      <c r="P66" s="156">
        <f>1076.9+199.7</f>
        <v>1276.6000000000001</v>
      </c>
      <c r="Q66" s="157">
        <f>276.4+199.7</f>
        <v>476.09999999999997</v>
      </c>
      <c r="R66" s="157">
        <f>1076.9+199.7</f>
        <v>1276.6000000000001</v>
      </c>
      <c r="S66" s="157">
        <f>1076.9+199.7</f>
        <v>1276.6000000000001</v>
      </c>
    </row>
    <row r="67" spans="1:19" ht="94.5">
      <c r="A67" s="148" t="s">
        <v>81</v>
      </c>
      <c r="B67" s="149">
        <v>1041</v>
      </c>
      <c r="C67" s="150"/>
      <c r="D67" s="150"/>
      <c r="E67" s="150"/>
      <c r="F67" s="150"/>
      <c r="G67" s="150"/>
      <c r="H67" s="150"/>
      <c r="I67" s="171"/>
      <c r="J67" s="171"/>
      <c r="K67" s="171"/>
      <c r="L67" s="153"/>
      <c r="M67" s="154"/>
      <c r="N67" s="159"/>
      <c r="O67" s="156"/>
      <c r="P67" s="156"/>
      <c r="Q67" s="157"/>
      <c r="R67" s="157"/>
      <c r="S67" s="157"/>
    </row>
    <row r="68" spans="1:19" ht="267.75">
      <c r="A68" s="148" t="s">
        <v>82</v>
      </c>
      <c r="B68" s="149">
        <v>1042</v>
      </c>
      <c r="C68" s="150"/>
      <c r="D68" s="150"/>
      <c r="E68" s="150"/>
      <c r="F68" s="150"/>
      <c r="G68" s="150"/>
      <c r="H68" s="150"/>
      <c r="I68" s="150"/>
      <c r="J68" s="150"/>
      <c r="K68" s="150"/>
      <c r="L68" s="153"/>
      <c r="M68" s="154"/>
      <c r="N68" s="159"/>
      <c r="O68" s="156"/>
      <c r="P68" s="156"/>
      <c r="Q68" s="157"/>
      <c r="R68" s="157"/>
      <c r="S68" s="157"/>
    </row>
    <row r="69" spans="1:19" ht="189">
      <c r="A69" s="148" t="s">
        <v>83</v>
      </c>
      <c r="B69" s="158">
        <v>1043</v>
      </c>
      <c r="C69" s="150"/>
      <c r="D69" s="150"/>
      <c r="E69" s="150"/>
      <c r="F69" s="150"/>
      <c r="G69" s="150"/>
      <c r="H69" s="150"/>
      <c r="I69" s="150"/>
      <c r="J69" s="150"/>
      <c r="K69" s="150"/>
      <c r="L69" s="153"/>
      <c r="M69" s="154"/>
      <c r="N69" s="159"/>
      <c r="O69" s="156"/>
      <c r="P69" s="156"/>
      <c r="Q69" s="157"/>
      <c r="R69" s="157"/>
      <c r="S69" s="157"/>
    </row>
    <row r="70" spans="1:19" ht="63">
      <c r="A70" s="148" t="s">
        <v>84</v>
      </c>
      <c r="B70" s="149">
        <v>1044</v>
      </c>
      <c r="C70" s="150"/>
      <c r="D70" s="150"/>
      <c r="E70" s="150"/>
      <c r="F70" s="150"/>
      <c r="G70" s="150"/>
      <c r="H70" s="150"/>
      <c r="I70" s="150"/>
      <c r="J70" s="150"/>
      <c r="K70" s="150"/>
      <c r="L70" s="153"/>
      <c r="M70" s="154"/>
      <c r="N70" s="159"/>
      <c r="O70" s="156"/>
      <c r="P70" s="156"/>
      <c r="Q70" s="157"/>
      <c r="R70" s="157"/>
      <c r="S70" s="157"/>
    </row>
    <row r="71" spans="1:19" ht="78.75">
      <c r="A71" s="148" t="s">
        <v>85</v>
      </c>
      <c r="B71" s="158">
        <v>1045</v>
      </c>
      <c r="C71" s="150"/>
      <c r="D71" s="150"/>
      <c r="E71" s="150"/>
      <c r="F71" s="150"/>
      <c r="G71" s="150"/>
      <c r="H71" s="150"/>
      <c r="I71" s="150"/>
      <c r="J71" s="150"/>
      <c r="K71" s="150"/>
      <c r="L71" s="153"/>
      <c r="M71" s="154"/>
      <c r="N71" s="159"/>
      <c r="O71" s="156"/>
      <c r="P71" s="156"/>
      <c r="Q71" s="157"/>
      <c r="R71" s="157"/>
      <c r="S71" s="157"/>
    </row>
    <row r="72" spans="1:19" ht="189">
      <c r="A72" s="148" t="s">
        <v>86</v>
      </c>
      <c r="B72" s="149">
        <v>1046</v>
      </c>
      <c r="C72" s="150"/>
      <c r="D72" s="150"/>
      <c r="E72" s="150"/>
      <c r="F72" s="150"/>
      <c r="G72" s="150"/>
      <c r="H72" s="150"/>
      <c r="I72" s="150"/>
      <c r="J72" s="150"/>
      <c r="K72" s="150"/>
      <c r="L72" s="153"/>
      <c r="M72" s="154"/>
      <c r="N72" s="159"/>
      <c r="O72" s="156"/>
      <c r="P72" s="156"/>
      <c r="Q72" s="157"/>
      <c r="R72" s="157"/>
      <c r="S72" s="157"/>
    </row>
    <row r="73" spans="1:19" ht="47.25">
      <c r="A73" s="148" t="s">
        <v>87</v>
      </c>
      <c r="B73" s="158">
        <v>1047</v>
      </c>
      <c r="C73" s="150"/>
      <c r="D73" s="150"/>
      <c r="E73" s="150"/>
      <c r="F73" s="150"/>
      <c r="G73" s="150"/>
      <c r="H73" s="150"/>
      <c r="I73" s="150"/>
      <c r="J73" s="150"/>
      <c r="K73" s="150"/>
      <c r="L73" s="153"/>
      <c r="M73" s="154"/>
      <c r="N73" s="159"/>
      <c r="O73" s="156"/>
      <c r="P73" s="156"/>
      <c r="Q73" s="157"/>
      <c r="R73" s="157"/>
      <c r="S73" s="157"/>
    </row>
    <row r="74" spans="1:19" ht="63">
      <c r="A74" s="148" t="s">
        <v>88</v>
      </c>
      <c r="B74" s="149">
        <v>1048</v>
      </c>
      <c r="C74" s="150"/>
      <c r="D74" s="150"/>
      <c r="E74" s="150"/>
      <c r="F74" s="150"/>
      <c r="G74" s="150"/>
      <c r="H74" s="150"/>
      <c r="I74" s="150"/>
      <c r="J74" s="150"/>
      <c r="K74" s="150"/>
      <c r="L74" s="153"/>
      <c r="M74" s="154"/>
      <c r="N74" s="159"/>
      <c r="O74" s="156"/>
      <c r="P74" s="156"/>
      <c r="Q74" s="157"/>
      <c r="R74" s="157"/>
      <c r="S74" s="157"/>
    </row>
    <row r="75" spans="1:19" ht="141.75">
      <c r="A75" s="148" t="s">
        <v>89</v>
      </c>
      <c r="B75" s="158">
        <v>1049</v>
      </c>
      <c r="C75" s="150"/>
      <c r="D75" s="150"/>
      <c r="E75" s="150"/>
      <c r="F75" s="150"/>
      <c r="G75" s="150"/>
      <c r="H75" s="150"/>
      <c r="I75" s="150"/>
      <c r="J75" s="150"/>
      <c r="K75" s="150"/>
      <c r="L75" s="153"/>
      <c r="M75" s="154"/>
      <c r="N75" s="159"/>
      <c r="O75" s="156"/>
      <c r="P75" s="156"/>
      <c r="Q75" s="157"/>
      <c r="R75" s="157"/>
      <c r="S75" s="157"/>
    </row>
    <row r="76" spans="1:19" ht="126">
      <c r="A76" s="148" t="s">
        <v>90</v>
      </c>
      <c r="B76" s="149">
        <v>1050</v>
      </c>
      <c r="C76" s="150"/>
      <c r="D76" s="150"/>
      <c r="E76" s="150"/>
      <c r="F76" s="150"/>
      <c r="G76" s="150"/>
      <c r="H76" s="150"/>
      <c r="I76" s="150"/>
      <c r="J76" s="150"/>
      <c r="K76" s="150"/>
      <c r="L76" s="153"/>
      <c r="M76" s="154"/>
      <c r="N76" s="159"/>
      <c r="O76" s="156"/>
      <c r="P76" s="156"/>
      <c r="Q76" s="157"/>
      <c r="R76" s="157"/>
      <c r="S76" s="157"/>
    </row>
    <row r="77" spans="1:19" ht="110.25">
      <c r="A77" s="148" t="s">
        <v>91</v>
      </c>
      <c r="B77" s="158">
        <v>1051</v>
      </c>
      <c r="C77" s="150"/>
      <c r="D77" s="150"/>
      <c r="E77" s="150"/>
      <c r="F77" s="150"/>
      <c r="G77" s="150"/>
      <c r="H77" s="150"/>
      <c r="I77" s="150"/>
      <c r="J77" s="150"/>
      <c r="K77" s="150"/>
      <c r="L77" s="153"/>
      <c r="M77" s="154"/>
      <c r="N77" s="159"/>
      <c r="O77" s="156"/>
      <c r="P77" s="156"/>
      <c r="Q77" s="157"/>
      <c r="R77" s="157"/>
      <c r="S77" s="157"/>
    </row>
    <row r="78" spans="1:19" ht="78.75">
      <c r="A78" s="148" t="s">
        <v>92</v>
      </c>
      <c r="B78" s="149">
        <v>1052</v>
      </c>
      <c r="C78" s="150"/>
      <c r="D78" s="150"/>
      <c r="E78" s="150"/>
      <c r="F78" s="150"/>
      <c r="G78" s="150"/>
      <c r="H78" s="150"/>
      <c r="I78" s="150"/>
      <c r="J78" s="150"/>
      <c r="K78" s="150"/>
      <c r="L78" s="153"/>
      <c r="M78" s="154"/>
      <c r="N78" s="159"/>
      <c r="O78" s="156"/>
      <c r="P78" s="156"/>
      <c r="Q78" s="157"/>
      <c r="R78" s="157"/>
      <c r="S78" s="157"/>
    </row>
    <row r="79" spans="1:19" ht="409.5">
      <c r="A79" s="148" t="s">
        <v>93</v>
      </c>
      <c r="B79" s="158">
        <v>1053</v>
      </c>
      <c r="C79" s="150"/>
      <c r="D79" s="150"/>
      <c r="E79" s="150"/>
      <c r="F79" s="150"/>
      <c r="G79" s="150"/>
      <c r="H79" s="150"/>
      <c r="I79" s="150"/>
      <c r="J79" s="150"/>
      <c r="K79" s="150"/>
      <c r="L79" s="153"/>
      <c r="M79" s="154"/>
      <c r="N79" s="159"/>
      <c r="O79" s="156"/>
      <c r="P79" s="156"/>
      <c r="Q79" s="157"/>
      <c r="R79" s="157"/>
      <c r="S79" s="157"/>
    </row>
    <row r="80" spans="1:19" ht="47.25">
      <c r="A80" s="148" t="s">
        <v>94</v>
      </c>
      <c r="B80" s="149">
        <v>1054</v>
      </c>
      <c r="C80" s="150"/>
      <c r="D80" s="150"/>
      <c r="E80" s="150"/>
      <c r="F80" s="150"/>
      <c r="G80" s="150"/>
      <c r="H80" s="150"/>
      <c r="I80" s="150"/>
      <c r="J80" s="150"/>
      <c r="K80" s="150"/>
      <c r="L80" s="153"/>
      <c r="M80" s="154"/>
      <c r="N80" s="159"/>
      <c r="O80" s="156"/>
      <c r="P80" s="156"/>
      <c r="Q80" s="157"/>
      <c r="R80" s="157"/>
      <c r="S80" s="157"/>
    </row>
    <row r="81" spans="1:19" ht="110.25">
      <c r="A81" s="148" t="s">
        <v>95</v>
      </c>
      <c r="B81" s="158">
        <v>1055</v>
      </c>
      <c r="C81" s="150"/>
      <c r="D81" s="150"/>
      <c r="E81" s="150"/>
      <c r="F81" s="150"/>
      <c r="G81" s="150"/>
      <c r="H81" s="150"/>
      <c r="I81" s="150"/>
      <c r="J81" s="150"/>
      <c r="K81" s="150"/>
      <c r="L81" s="153"/>
      <c r="M81" s="154"/>
      <c r="N81" s="159"/>
      <c r="O81" s="156"/>
      <c r="P81" s="156"/>
      <c r="Q81" s="157"/>
      <c r="R81" s="157"/>
      <c r="S81" s="157"/>
    </row>
    <row r="82" spans="1:19" ht="78.75">
      <c r="A82" s="148" t="s">
        <v>96</v>
      </c>
      <c r="B82" s="149">
        <v>1056</v>
      </c>
      <c r="C82" s="150"/>
      <c r="D82" s="150"/>
      <c r="E82" s="150"/>
      <c r="F82" s="150"/>
      <c r="G82" s="150"/>
      <c r="H82" s="150"/>
      <c r="I82" s="150"/>
      <c r="J82" s="150"/>
      <c r="K82" s="150"/>
      <c r="L82" s="153"/>
      <c r="M82" s="154"/>
      <c r="N82" s="159"/>
      <c r="O82" s="156"/>
      <c r="P82" s="156"/>
      <c r="Q82" s="157"/>
      <c r="R82" s="157"/>
      <c r="S82" s="157"/>
    </row>
    <row r="83" spans="1:19" ht="78.75">
      <c r="A83" s="148" t="s">
        <v>97</v>
      </c>
      <c r="B83" s="158">
        <v>1057</v>
      </c>
      <c r="C83" s="150"/>
      <c r="D83" s="150"/>
      <c r="E83" s="150"/>
      <c r="F83" s="150"/>
      <c r="G83" s="150"/>
      <c r="H83" s="150"/>
      <c r="I83" s="150"/>
      <c r="J83" s="150"/>
      <c r="K83" s="150"/>
      <c r="L83" s="153"/>
      <c r="M83" s="154"/>
      <c r="N83" s="159"/>
      <c r="O83" s="156"/>
      <c r="P83" s="156"/>
      <c r="Q83" s="157"/>
      <c r="R83" s="157"/>
      <c r="S83" s="157"/>
    </row>
    <row r="84" spans="1:19" ht="141.75">
      <c r="A84" s="148" t="s">
        <v>98</v>
      </c>
      <c r="B84" s="149">
        <v>1058</v>
      </c>
      <c r="C84" s="150"/>
      <c r="D84" s="150"/>
      <c r="E84" s="150"/>
      <c r="F84" s="150"/>
      <c r="G84" s="150"/>
      <c r="H84" s="150"/>
      <c r="I84" s="150"/>
      <c r="J84" s="150"/>
      <c r="K84" s="150"/>
      <c r="L84" s="153"/>
      <c r="M84" s="154"/>
      <c r="N84" s="159"/>
      <c r="O84" s="156"/>
      <c r="P84" s="156"/>
      <c r="Q84" s="157"/>
      <c r="R84" s="157"/>
      <c r="S84" s="157"/>
    </row>
    <row r="85" spans="1:19" ht="110.25">
      <c r="A85" s="148" t="s">
        <v>99</v>
      </c>
      <c r="B85" s="158">
        <v>1059</v>
      </c>
      <c r="C85" s="150"/>
      <c r="D85" s="150"/>
      <c r="E85" s="150"/>
      <c r="F85" s="150"/>
      <c r="G85" s="150"/>
      <c r="H85" s="150"/>
      <c r="I85" s="150"/>
      <c r="J85" s="150"/>
      <c r="K85" s="150"/>
      <c r="L85" s="153"/>
      <c r="M85" s="154"/>
      <c r="N85" s="159"/>
      <c r="O85" s="156"/>
      <c r="P85" s="156"/>
      <c r="Q85" s="157"/>
      <c r="R85" s="157"/>
      <c r="S85" s="157"/>
    </row>
    <row r="86" spans="1:19" ht="47.25">
      <c r="A86" s="148" t="s">
        <v>100</v>
      </c>
      <c r="B86" s="149">
        <v>1060</v>
      </c>
      <c r="C86" s="150"/>
      <c r="D86" s="150"/>
      <c r="E86" s="150"/>
      <c r="F86" s="150"/>
      <c r="G86" s="150"/>
      <c r="H86" s="150"/>
      <c r="I86" s="150"/>
      <c r="J86" s="150"/>
      <c r="K86" s="150"/>
      <c r="L86" s="153"/>
      <c r="M86" s="154"/>
      <c r="N86" s="159"/>
      <c r="O86" s="156"/>
      <c r="P86" s="156"/>
      <c r="Q86" s="157"/>
      <c r="R86" s="157"/>
      <c r="S86" s="157"/>
    </row>
    <row r="87" spans="1:19" ht="94.5">
      <c r="A87" s="148" t="s">
        <v>101</v>
      </c>
      <c r="B87" s="158">
        <v>1061</v>
      </c>
      <c r="C87" s="150"/>
      <c r="D87" s="150"/>
      <c r="E87" s="150"/>
      <c r="F87" s="150"/>
      <c r="G87" s="150"/>
      <c r="H87" s="150"/>
      <c r="I87" s="150"/>
      <c r="J87" s="150"/>
      <c r="K87" s="150"/>
      <c r="L87" s="153"/>
      <c r="M87" s="154"/>
      <c r="N87" s="159"/>
      <c r="O87" s="156"/>
      <c r="P87" s="156"/>
      <c r="Q87" s="157"/>
      <c r="R87" s="157"/>
      <c r="S87" s="157"/>
    </row>
    <row r="88" spans="1:19" ht="126">
      <c r="A88" s="148" t="s">
        <v>102</v>
      </c>
      <c r="B88" s="149">
        <v>1062</v>
      </c>
      <c r="C88" s="150"/>
      <c r="D88" s="150"/>
      <c r="E88" s="150"/>
      <c r="F88" s="150"/>
      <c r="G88" s="150"/>
      <c r="H88" s="150"/>
      <c r="I88" s="150"/>
      <c r="J88" s="150"/>
      <c r="K88" s="150"/>
      <c r="L88" s="153"/>
      <c r="M88" s="154"/>
      <c r="N88" s="159"/>
      <c r="O88" s="156"/>
      <c r="P88" s="156"/>
      <c r="Q88" s="157"/>
      <c r="R88" s="157"/>
      <c r="S88" s="157"/>
    </row>
    <row r="89" spans="1:19" ht="126">
      <c r="A89" s="148" t="s">
        <v>103</v>
      </c>
      <c r="B89" s="158">
        <v>1063</v>
      </c>
      <c r="C89" s="150"/>
      <c r="D89" s="150"/>
      <c r="E89" s="150"/>
      <c r="F89" s="150"/>
      <c r="G89" s="150"/>
      <c r="H89" s="150"/>
      <c r="I89" s="150"/>
      <c r="J89" s="150"/>
      <c r="K89" s="150"/>
      <c r="L89" s="153"/>
      <c r="M89" s="154"/>
      <c r="N89" s="159"/>
      <c r="O89" s="156"/>
      <c r="P89" s="156"/>
      <c r="Q89" s="157"/>
      <c r="R89" s="157"/>
      <c r="S89" s="157"/>
    </row>
    <row r="90" spans="1:19" ht="126">
      <c r="A90" s="148" t="s">
        <v>104</v>
      </c>
      <c r="B90" s="149">
        <v>1064</v>
      </c>
      <c r="C90" s="150"/>
      <c r="D90" s="150"/>
      <c r="E90" s="150"/>
      <c r="F90" s="150"/>
      <c r="G90" s="150"/>
      <c r="H90" s="150"/>
      <c r="I90" s="150"/>
      <c r="J90" s="150"/>
      <c r="K90" s="150"/>
      <c r="L90" s="153"/>
      <c r="M90" s="154"/>
      <c r="N90" s="159"/>
      <c r="O90" s="156"/>
      <c r="P90" s="156"/>
      <c r="Q90" s="157"/>
      <c r="R90" s="157"/>
      <c r="S90" s="157"/>
    </row>
    <row r="91" spans="1:19" ht="31.5">
      <c r="A91" s="148" t="s">
        <v>105</v>
      </c>
      <c r="B91" s="158">
        <v>1065</v>
      </c>
      <c r="C91" s="150"/>
      <c r="D91" s="150"/>
      <c r="E91" s="150"/>
      <c r="F91" s="150"/>
      <c r="G91" s="150"/>
      <c r="H91" s="150"/>
      <c r="I91" s="150"/>
      <c r="J91" s="150"/>
      <c r="K91" s="150"/>
      <c r="L91" s="153"/>
      <c r="M91" s="154"/>
      <c r="N91" s="159"/>
      <c r="O91" s="156"/>
      <c r="P91" s="156"/>
      <c r="Q91" s="157"/>
      <c r="R91" s="157"/>
      <c r="S91" s="157"/>
    </row>
    <row r="92" spans="1:19" ht="78.75">
      <c r="A92" s="148" t="s">
        <v>106</v>
      </c>
      <c r="B92" s="149">
        <v>1066</v>
      </c>
      <c r="C92" s="150"/>
      <c r="D92" s="150"/>
      <c r="E92" s="150"/>
      <c r="F92" s="150"/>
      <c r="G92" s="150"/>
      <c r="H92" s="150"/>
      <c r="I92" s="150"/>
      <c r="J92" s="150"/>
      <c r="K92" s="150"/>
      <c r="L92" s="153"/>
      <c r="M92" s="154"/>
      <c r="N92" s="159"/>
      <c r="O92" s="156"/>
      <c r="P92" s="156"/>
      <c r="Q92" s="157"/>
      <c r="R92" s="157"/>
      <c r="S92" s="157"/>
    </row>
    <row r="93" spans="1:19" ht="299.25">
      <c r="A93" s="148" t="s">
        <v>83</v>
      </c>
      <c r="B93" s="158">
        <v>1067</v>
      </c>
      <c r="C93" s="150" t="s">
        <v>1022</v>
      </c>
      <c r="D93" s="150" t="s">
        <v>1007</v>
      </c>
      <c r="E93" s="150" t="s">
        <v>1008</v>
      </c>
      <c r="F93" s="162" t="s">
        <v>987</v>
      </c>
      <c r="G93" s="162"/>
      <c r="H93" s="162" t="s">
        <v>988</v>
      </c>
      <c r="I93" s="164" t="s">
        <v>864</v>
      </c>
      <c r="J93" s="164" t="s">
        <v>865</v>
      </c>
      <c r="K93" s="164" t="s">
        <v>866</v>
      </c>
      <c r="L93" s="153" t="s">
        <v>348</v>
      </c>
      <c r="M93" s="154" t="s">
        <v>349</v>
      </c>
      <c r="N93" s="155">
        <f>112+160+465+201.9+100.6+1512.7+11068.5+19685.5+2006.7+12834+1706.6</f>
        <v>49853.49999999999</v>
      </c>
      <c r="O93" s="156">
        <f>8015.3+1706.6+7277.3+14712.5+2006.7+80+128+93+1039.6+465-80-465</f>
        <v>34979</v>
      </c>
      <c r="P93" s="156">
        <f>192+192+6518+764</f>
        <v>7666</v>
      </c>
      <c r="Q93" s="157">
        <f>192+192</f>
        <v>384</v>
      </c>
      <c r="R93" s="157">
        <f>0</f>
        <v>0</v>
      </c>
      <c r="S93" s="157">
        <f>0</f>
        <v>0</v>
      </c>
    </row>
    <row r="94" spans="1:19" ht="220.5">
      <c r="A94" s="148"/>
      <c r="B94" s="158"/>
      <c r="C94" s="150"/>
      <c r="D94" s="150"/>
      <c r="E94" s="150"/>
      <c r="F94" s="150"/>
      <c r="G94" s="150"/>
      <c r="H94" s="150"/>
      <c r="I94" s="167" t="s">
        <v>1006</v>
      </c>
      <c r="J94" s="207" t="s">
        <v>990</v>
      </c>
      <c r="K94" s="207" t="s">
        <v>991</v>
      </c>
      <c r="L94" s="153"/>
      <c r="M94" s="154"/>
      <c r="N94" s="155"/>
      <c r="O94" s="156"/>
      <c r="P94" s="156"/>
      <c r="Q94" s="157"/>
      <c r="R94" s="157"/>
      <c r="S94" s="157"/>
    </row>
    <row r="95" spans="1:19" ht="267.75">
      <c r="A95" s="148" t="s">
        <v>82</v>
      </c>
      <c r="B95" s="149">
        <v>1068</v>
      </c>
      <c r="C95" s="150" t="s">
        <v>575</v>
      </c>
      <c r="D95" s="150" t="s">
        <v>576</v>
      </c>
      <c r="E95" s="150" t="s">
        <v>577</v>
      </c>
      <c r="F95" s="150"/>
      <c r="G95" s="150"/>
      <c r="H95" s="150"/>
      <c r="I95" s="167" t="s">
        <v>863</v>
      </c>
      <c r="J95" s="207" t="s">
        <v>861</v>
      </c>
      <c r="K95" s="207" t="s">
        <v>862</v>
      </c>
      <c r="L95" s="153" t="s">
        <v>333</v>
      </c>
      <c r="M95" s="154" t="s">
        <v>334</v>
      </c>
      <c r="N95" s="155">
        <f>2690.2+215+2147.4+1100+74.2+126</f>
        <v>6352.8</v>
      </c>
      <c r="O95" s="156">
        <f>2147.4+64.3+2081.7+74.2</f>
        <v>4367.599999999999</v>
      </c>
      <c r="P95" s="156">
        <f>1067+13157.9-1067</f>
        <v>13157.9</v>
      </c>
      <c r="Q95" s="157">
        <f>0</f>
        <v>0</v>
      </c>
      <c r="R95" s="157">
        <f>0</f>
        <v>0</v>
      </c>
      <c r="S95" s="157">
        <f>0</f>
        <v>0</v>
      </c>
    </row>
    <row r="96" spans="1:19" ht="189">
      <c r="A96" s="148" t="s">
        <v>350</v>
      </c>
      <c r="B96" s="158">
        <v>1069</v>
      </c>
      <c r="C96" s="150" t="s">
        <v>581</v>
      </c>
      <c r="D96" s="150" t="s">
        <v>582</v>
      </c>
      <c r="E96" s="150" t="s">
        <v>583</v>
      </c>
      <c r="F96" s="150"/>
      <c r="G96" s="150"/>
      <c r="H96" s="150"/>
      <c r="I96" s="167" t="s">
        <v>863</v>
      </c>
      <c r="J96" s="207" t="s">
        <v>861</v>
      </c>
      <c r="K96" s="207" t="s">
        <v>862</v>
      </c>
      <c r="L96" s="153" t="s">
        <v>303</v>
      </c>
      <c r="M96" s="154" t="s">
        <v>306</v>
      </c>
      <c r="N96" s="155">
        <f>2557.4+4721.5</f>
        <v>7278.9</v>
      </c>
      <c r="O96" s="156">
        <f>2557.4+4721.5</f>
        <v>7278.9</v>
      </c>
      <c r="P96" s="156">
        <f>2867.2+4706.4</f>
        <v>7573.599999999999</v>
      </c>
      <c r="Q96" s="157">
        <f>2867.2+4706.4</f>
        <v>7573.599999999999</v>
      </c>
      <c r="R96" s="157">
        <f>2867.2+4706.4</f>
        <v>7573.599999999999</v>
      </c>
      <c r="S96" s="157">
        <f>2867.2+4706.4</f>
        <v>7573.599999999999</v>
      </c>
    </row>
    <row r="97" spans="1:19" ht="157.5">
      <c r="A97" s="148" t="s">
        <v>329</v>
      </c>
      <c r="B97" s="158">
        <v>1070</v>
      </c>
      <c r="C97" s="150" t="s">
        <v>587</v>
      </c>
      <c r="D97" s="150" t="s">
        <v>589</v>
      </c>
      <c r="E97" s="150" t="s">
        <v>588</v>
      </c>
      <c r="F97" s="150"/>
      <c r="G97" s="150"/>
      <c r="H97" s="150"/>
      <c r="I97" s="167" t="s">
        <v>863</v>
      </c>
      <c r="J97" s="207" t="s">
        <v>861</v>
      </c>
      <c r="K97" s="207" t="s">
        <v>862</v>
      </c>
      <c r="L97" s="153" t="s">
        <v>752</v>
      </c>
      <c r="M97" s="154" t="s">
        <v>753</v>
      </c>
      <c r="N97" s="155">
        <f>4709.5+126.3+80.3</f>
        <v>4916.1</v>
      </c>
      <c r="O97" s="156">
        <f>4709.5+126.3+80.3</f>
        <v>4916.1</v>
      </c>
      <c r="P97" s="156">
        <v>8546.2</v>
      </c>
      <c r="Q97" s="157">
        <v>0</v>
      </c>
      <c r="R97" s="157">
        <f>0</f>
        <v>0</v>
      </c>
      <c r="S97" s="157">
        <f>0</f>
        <v>0</v>
      </c>
    </row>
    <row r="98" spans="1:19" ht="393.75">
      <c r="A98" s="148" t="s">
        <v>332</v>
      </c>
      <c r="B98" s="158">
        <v>1071</v>
      </c>
      <c r="C98" s="150" t="s">
        <v>399</v>
      </c>
      <c r="D98" s="150" t="s">
        <v>425</v>
      </c>
      <c r="E98" s="150" t="s">
        <v>358</v>
      </c>
      <c r="F98" s="150"/>
      <c r="G98" s="150"/>
      <c r="H98" s="150"/>
      <c r="I98" s="167" t="s">
        <v>863</v>
      </c>
      <c r="J98" s="207" t="s">
        <v>861</v>
      </c>
      <c r="K98" s="207" t="s">
        <v>862</v>
      </c>
      <c r="L98" s="153" t="s">
        <v>344</v>
      </c>
      <c r="M98" s="154" t="s">
        <v>345</v>
      </c>
      <c r="N98" s="155">
        <f>963+2.9+174.4-963</f>
        <v>177.29999999999995</v>
      </c>
      <c r="O98" s="156">
        <f>174.4+2.9+463-463</f>
        <v>177.29999999999995</v>
      </c>
      <c r="P98" s="156">
        <f>600-600</f>
        <v>0</v>
      </c>
      <c r="Q98" s="157">
        <f>0</f>
        <v>0</v>
      </c>
      <c r="R98" s="157">
        <f>0</f>
        <v>0</v>
      </c>
      <c r="S98" s="157">
        <f>0</f>
        <v>0</v>
      </c>
    </row>
    <row r="99" spans="1:19" ht="157.5">
      <c r="A99" s="148" t="s">
        <v>81</v>
      </c>
      <c r="B99" s="158">
        <v>1072</v>
      </c>
      <c r="C99" s="150" t="s">
        <v>399</v>
      </c>
      <c r="D99" s="150" t="s">
        <v>422</v>
      </c>
      <c r="E99" s="150" t="s">
        <v>358</v>
      </c>
      <c r="F99" s="150"/>
      <c r="G99" s="150"/>
      <c r="H99" s="163"/>
      <c r="I99" s="167" t="s">
        <v>863</v>
      </c>
      <c r="J99" s="207" t="s">
        <v>861</v>
      </c>
      <c r="K99" s="207" t="s">
        <v>862</v>
      </c>
      <c r="L99" s="153" t="s">
        <v>339</v>
      </c>
      <c r="M99" s="154" t="s">
        <v>340</v>
      </c>
      <c r="N99" s="155">
        <f>37+4.5+658.9+849.5+27700+2467.4+300.9+400+600+585+10718+4425.1+20169.6+130+20+29.7+11585+6900+6522.6+76.7+564.8+5+367.7+540+401+465+385.9+60-80.6+126-126</f>
        <v>96888.69999999998</v>
      </c>
      <c r="O99" s="156">
        <f>2407+30.9+300.9+325+9401.3+2103.7+5600.9+20+29.7+9541.2+6518.7+2022.6+76.7+564.8+5+367.7+153.1+37+4.5+727.7-80.3+849.5+25692+401+465+331.5+60+80+465-80.6</f>
        <v>68421.49999999997</v>
      </c>
      <c r="P99" s="156">
        <f>322.1+1700+5474+300+442.7+485.3</f>
        <v>8724.1</v>
      </c>
      <c r="Q99" s="157">
        <f>461.2+442.7+485.3-461.2</f>
        <v>928</v>
      </c>
      <c r="R99" s="157">
        <f>558.7+442.7+485.3-558.7</f>
        <v>928</v>
      </c>
      <c r="S99" s="157">
        <f>558.7+442.7+485.3-558.7</f>
        <v>928</v>
      </c>
    </row>
    <row r="100" spans="1:19" ht="157.5">
      <c r="A100" s="148" t="s">
        <v>95</v>
      </c>
      <c r="B100" s="158">
        <v>1073</v>
      </c>
      <c r="C100" s="150" t="s">
        <v>399</v>
      </c>
      <c r="D100" s="150" t="s">
        <v>423</v>
      </c>
      <c r="E100" s="150" t="s">
        <v>358</v>
      </c>
      <c r="F100" s="150"/>
      <c r="G100" s="150"/>
      <c r="H100" s="150"/>
      <c r="I100" s="167" t="s">
        <v>863</v>
      </c>
      <c r="J100" s="207" t="s">
        <v>861</v>
      </c>
      <c r="K100" s="207" t="s">
        <v>862</v>
      </c>
      <c r="L100" s="153" t="s">
        <v>298</v>
      </c>
      <c r="M100" s="154" t="s">
        <v>311</v>
      </c>
      <c r="N100" s="159">
        <f>738.4</f>
        <v>738.4</v>
      </c>
      <c r="O100" s="156">
        <v>738.4</v>
      </c>
      <c r="P100" s="156">
        <f>738.4</f>
        <v>738.4</v>
      </c>
      <c r="Q100" s="156">
        <f>738.4</f>
        <v>738.4</v>
      </c>
      <c r="R100" s="156">
        <f>738.4</f>
        <v>738.4</v>
      </c>
      <c r="S100" s="157">
        <v>0</v>
      </c>
    </row>
    <row r="101" spans="1:19" ht="157.5">
      <c r="A101" s="148" t="s">
        <v>99</v>
      </c>
      <c r="B101" s="158">
        <v>1074</v>
      </c>
      <c r="C101" s="150" t="s">
        <v>399</v>
      </c>
      <c r="D101" s="150" t="s">
        <v>424</v>
      </c>
      <c r="E101" s="150" t="s">
        <v>358</v>
      </c>
      <c r="F101" s="150"/>
      <c r="G101" s="150"/>
      <c r="H101" s="150"/>
      <c r="I101" s="167" t="s">
        <v>863</v>
      </c>
      <c r="J101" s="207" t="s">
        <v>861</v>
      </c>
      <c r="K101" s="207" t="s">
        <v>862</v>
      </c>
      <c r="L101" s="153" t="s">
        <v>342</v>
      </c>
      <c r="M101" s="154" t="s">
        <v>343</v>
      </c>
      <c r="N101" s="155">
        <f>7716.7+43.9+80.6</f>
        <v>7841.2</v>
      </c>
      <c r="O101" s="156">
        <f>1874.9+929.2+532.5+43.9+80.6</f>
        <v>3461.1000000000004</v>
      </c>
      <c r="P101" s="156">
        <f>600+186.3+167.7</f>
        <v>954</v>
      </c>
      <c r="Q101" s="157">
        <f>6462.2+63.7+461.2</f>
        <v>6987.099999999999</v>
      </c>
      <c r="R101" s="157">
        <f>5663.5+41.3+558.7</f>
        <v>6263.5</v>
      </c>
      <c r="S101" s="157">
        <f>5663.5+41.3+558.7</f>
        <v>6263.5</v>
      </c>
    </row>
    <row r="102" spans="1:19" ht="157.5">
      <c r="A102" s="148" t="s">
        <v>341</v>
      </c>
      <c r="B102" s="158">
        <v>1075</v>
      </c>
      <c r="C102" s="150" t="s">
        <v>584</v>
      </c>
      <c r="D102" s="150" t="s">
        <v>585</v>
      </c>
      <c r="E102" s="150" t="s">
        <v>586</v>
      </c>
      <c r="F102" s="150"/>
      <c r="G102" s="150"/>
      <c r="H102" s="150"/>
      <c r="I102" s="167" t="s">
        <v>863</v>
      </c>
      <c r="J102" s="207" t="s">
        <v>861</v>
      </c>
      <c r="K102" s="207" t="s">
        <v>862</v>
      </c>
      <c r="L102" s="153" t="s">
        <v>304</v>
      </c>
      <c r="M102" s="154" t="s">
        <v>304</v>
      </c>
      <c r="N102" s="155">
        <f>338.5+1161.4</f>
        <v>1499.9</v>
      </c>
      <c r="O102" s="156">
        <f>338.5+1161.4+60-60</f>
        <v>1499.9</v>
      </c>
      <c r="P102" s="156">
        <f>492+1152.5</f>
        <v>1644.5</v>
      </c>
      <c r="Q102" s="157">
        <f>492+1152.5</f>
        <v>1644.5</v>
      </c>
      <c r="R102" s="157">
        <f>492+1152.5</f>
        <v>1644.5</v>
      </c>
      <c r="S102" s="157">
        <f>492+1152.5</f>
        <v>1644.5</v>
      </c>
    </row>
    <row r="103" spans="1:19" ht="15.75">
      <c r="A103" s="148" t="s">
        <v>13</v>
      </c>
      <c r="B103" s="149"/>
      <c r="C103" s="208"/>
      <c r="D103" s="208"/>
      <c r="E103" s="208"/>
      <c r="F103" s="208"/>
      <c r="G103" s="208"/>
      <c r="H103" s="208"/>
      <c r="I103" s="208"/>
      <c r="J103" s="208"/>
      <c r="K103" s="208"/>
      <c r="L103" s="153"/>
      <c r="M103" s="154"/>
      <c r="N103" s="159"/>
      <c r="O103" s="156"/>
      <c r="P103" s="156"/>
      <c r="Q103" s="157"/>
      <c r="R103" s="157"/>
      <c r="S103" s="157"/>
    </row>
    <row r="104" spans="1:19" ht="141.75">
      <c r="A104" s="143" t="s">
        <v>108</v>
      </c>
      <c r="B104" s="209" t="s">
        <v>17</v>
      </c>
      <c r="C104" s="210" t="s">
        <v>12</v>
      </c>
      <c r="D104" s="211" t="s">
        <v>12</v>
      </c>
      <c r="E104" s="211" t="s">
        <v>12</v>
      </c>
      <c r="F104" s="210" t="s">
        <v>12</v>
      </c>
      <c r="G104" s="211" t="s">
        <v>12</v>
      </c>
      <c r="H104" s="211" t="s">
        <v>12</v>
      </c>
      <c r="I104" s="211"/>
      <c r="J104" s="211"/>
      <c r="K104" s="211"/>
      <c r="L104" s="212" t="s">
        <v>12</v>
      </c>
      <c r="M104" s="147" t="s">
        <v>12</v>
      </c>
      <c r="N104" s="142">
        <f aca="true" t="shared" si="2" ref="N104:S104">SUM(N105:N123)</f>
        <v>51411.700000000004</v>
      </c>
      <c r="O104" s="142">
        <f t="shared" si="2"/>
        <v>50229.2</v>
      </c>
      <c r="P104" s="142">
        <f t="shared" si="2"/>
        <v>47727.6</v>
      </c>
      <c r="Q104" s="213">
        <f t="shared" si="2"/>
        <v>47531.6</v>
      </c>
      <c r="R104" s="213">
        <f t="shared" si="2"/>
        <v>47727.6</v>
      </c>
      <c r="S104" s="213">
        <f t="shared" si="2"/>
        <v>47727.6</v>
      </c>
    </row>
    <row r="105" spans="1:19" ht="31.5">
      <c r="A105" s="148" t="s">
        <v>109</v>
      </c>
      <c r="B105" s="158">
        <v>1101</v>
      </c>
      <c r="C105" s="208"/>
      <c r="D105" s="208"/>
      <c r="E105" s="208"/>
      <c r="F105" s="208"/>
      <c r="G105" s="208"/>
      <c r="H105" s="208"/>
      <c r="I105" s="214"/>
      <c r="J105" s="214"/>
      <c r="K105" s="214"/>
      <c r="L105" s="153"/>
      <c r="M105" s="154"/>
      <c r="N105" s="159"/>
      <c r="O105" s="156"/>
      <c r="P105" s="156"/>
      <c r="Q105" s="157"/>
      <c r="R105" s="157"/>
      <c r="S105" s="157"/>
    </row>
    <row r="106" spans="1:19" ht="293.25" customHeight="1">
      <c r="A106" s="148" t="s">
        <v>110</v>
      </c>
      <c r="B106" s="158">
        <v>1102</v>
      </c>
      <c r="C106" s="150" t="s">
        <v>399</v>
      </c>
      <c r="D106" s="150" t="s">
        <v>426</v>
      </c>
      <c r="E106" s="150" t="s">
        <v>358</v>
      </c>
      <c r="F106" s="208"/>
      <c r="G106" s="208"/>
      <c r="H106" s="215"/>
      <c r="I106" s="166" t="s">
        <v>1023</v>
      </c>
      <c r="J106" s="164" t="s">
        <v>868</v>
      </c>
      <c r="K106" s="164" t="s">
        <v>867</v>
      </c>
      <c r="L106" s="153" t="s">
        <v>326</v>
      </c>
      <c r="M106" s="154" t="s">
        <v>327</v>
      </c>
      <c r="N106" s="155">
        <f>6009.2+48374.8+196+19945.3-30069</f>
        <v>44456.3</v>
      </c>
      <c r="O106" s="156">
        <f>5860.9+47617+196+19660.3-30060.4</f>
        <v>43273.799999999996</v>
      </c>
      <c r="P106" s="156">
        <f>4475.7+17714.8+19341.1+196</f>
        <v>41727.6</v>
      </c>
      <c r="Q106" s="157">
        <f>4475.7+17714.8+19341.1</f>
        <v>41531.6</v>
      </c>
      <c r="R106" s="157">
        <f>4475.7+17714.8+19341.1+196</f>
        <v>41727.6</v>
      </c>
      <c r="S106" s="157">
        <f>4475.7+17714.8+19341.1+196</f>
        <v>41727.6</v>
      </c>
    </row>
    <row r="107" spans="1:19" ht="183" customHeight="1">
      <c r="A107" s="148"/>
      <c r="B107" s="158"/>
      <c r="C107" s="150"/>
      <c r="D107" s="150"/>
      <c r="E107" s="150"/>
      <c r="F107" s="208"/>
      <c r="G107" s="208"/>
      <c r="H107" s="215"/>
      <c r="I107" s="166" t="s">
        <v>1041</v>
      </c>
      <c r="J107" s="164" t="s">
        <v>893</v>
      </c>
      <c r="K107" s="164" t="s">
        <v>892</v>
      </c>
      <c r="L107" s="153"/>
      <c r="M107" s="154"/>
      <c r="N107" s="155"/>
      <c r="O107" s="156"/>
      <c r="P107" s="156"/>
      <c r="Q107" s="157"/>
      <c r="R107" s="157"/>
      <c r="S107" s="157"/>
    </row>
    <row r="108" spans="1:19" ht="63">
      <c r="A108" s="148" t="s">
        <v>111</v>
      </c>
      <c r="B108" s="158">
        <v>1103</v>
      </c>
      <c r="C108" s="208"/>
      <c r="D108" s="208"/>
      <c r="E108" s="208"/>
      <c r="F108" s="208"/>
      <c r="G108" s="208"/>
      <c r="H108" s="208"/>
      <c r="I108" s="208"/>
      <c r="J108" s="208"/>
      <c r="K108" s="208"/>
      <c r="L108" s="153"/>
      <c r="M108" s="154"/>
      <c r="N108" s="159"/>
      <c r="O108" s="156"/>
      <c r="P108" s="156"/>
      <c r="Q108" s="157"/>
      <c r="R108" s="157"/>
      <c r="S108" s="157"/>
    </row>
    <row r="109" spans="1:19" ht="31.5">
      <c r="A109" s="148" t="s">
        <v>112</v>
      </c>
      <c r="B109" s="158">
        <v>1104</v>
      </c>
      <c r="C109" s="208"/>
      <c r="D109" s="208"/>
      <c r="E109" s="208"/>
      <c r="F109" s="208"/>
      <c r="G109" s="208"/>
      <c r="H109" s="208"/>
      <c r="I109" s="208"/>
      <c r="J109" s="208"/>
      <c r="K109" s="208"/>
      <c r="L109" s="153"/>
      <c r="M109" s="154"/>
      <c r="N109" s="159"/>
      <c r="O109" s="156"/>
      <c r="P109" s="156"/>
      <c r="Q109" s="157"/>
      <c r="R109" s="157"/>
      <c r="S109" s="157"/>
    </row>
    <row r="110" spans="1:19" ht="157.5">
      <c r="A110" s="148" t="s">
        <v>113</v>
      </c>
      <c r="B110" s="158">
        <v>1105</v>
      </c>
      <c r="C110" s="208"/>
      <c r="D110" s="208"/>
      <c r="E110" s="208"/>
      <c r="F110" s="208"/>
      <c r="G110" s="208"/>
      <c r="H110" s="208"/>
      <c r="I110" s="208"/>
      <c r="J110" s="208"/>
      <c r="K110" s="208"/>
      <c r="L110" s="153"/>
      <c r="M110" s="154"/>
      <c r="N110" s="159"/>
      <c r="O110" s="156"/>
      <c r="P110" s="156"/>
      <c r="Q110" s="157"/>
      <c r="R110" s="157"/>
      <c r="S110" s="157"/>
    </row>
    <row r="111" spans="1:19" ht="94.5">
      <c r="A111" s="148" t="s">
        <v>114</v>
      </c>
      <c r="B111" s="158">
        <v>1106</v>
      </c>
      <c r="C111" s="208"/>
      <c r="D111" s="208"/>
      <c r="E111" s="208"/>
      <c r="F111" s="208"/>
      <c r="G111" s="208"/>
      <c r="H111" s="208"/>
      <c r="I111" s="208"/>
      <c r="J111" s="208"/>
      <c r="K111" s="208"/>
      <c r="L111" s="153"/>
      <c r="M111" s="154"/>
      <c r="N111" s="159"/>
      <c r="O111" s="156"/>
      <c r="P111" s="156"/>
      <c r="Q111" s="157"/>
      <c r="R111" s="157"/>
      <c r="S111" s="157"/>
    </row>
    <row r="112" spans="1:19" ht="110.25">
      <c r="A112" s="148" t="s">
        <v>115</v>
      </c>
      <c r="B112" s="158">
        <v>1107</v>
      </c>
      <c r="C112" s="208"/>
      <c r="D112" s="208"/>
      <c r="E112" s="208"/>
      <c r="F112" s="208"/>
      <c r="G112" s="208"/>
      <c r="H112" s="208"/>
      <c r="I112" s="208"/>
      <c r="J112" s="208"/>
      <c r="K112" s="208"/>
      <c r="L112" s="153"/>
      <c r="M112" s="154"/>
      <c r="N112" s="159"/>
      <c r="O112" s="156"/>
      <c r="P112" s="156"/>
      <c r="Q112" s="157"/>
      <c r="R112" s="157"/>
      <c r="S112" s="157"/>
    </row>
    <row r="113" spans="1:19" ht="63">
      <c r="A113" s="148" t="s">
        <v>116</v>
      </c>
      <c r="B113" s="158">
        <v>1108</v>
      </c>
      <c r="C113" s="208"/>
      <c r="D113" s="208"/>
      <c r="E113" s="208"/>
      <c r="F113" s="208"/>
      <c r="G113" s="208"/>
      <c r="H113" s="208"/>
      <c r="I113" s="208"/>
      <c r="J113" s="208"/>
      <c r="K113" s="208"/>
      <c r="L113" s="153"/>
      <c r="M113" s="154"/>
      <c r="N113" s="159"/>
      <c r="O113" s="156"/>
      <c r="P113" s="156"/>
      <c r="Q113" s="157"/>
      <c r="R113" s="157"/>
      <c r="S113" s="157"/>
    </row>
    <row r="114" spans="1:19" ht="63">
      <c r="A114" s="148" t="s">
        <v>117</v>
      </c>
      <c r="B114" s="158">
        <v>1109</v>
      </c>
      <c r="C114" s="208"/>
      <c r="D114" s="208"/>
      <c r="E114" s="208"/>
      <c r="F114" s="208"/>
      <c r="G114" s="208"/>
      <c r="H114" s="208"/>
      <c r="I114" s="208"/>
      <c r="J114" s="208"/>
      <c r="K114" s="208"/>
      <c r="L114" s="153"/>
      <c r="M114" s="154"/>
      <c r="N114" s="159"/>
      <c r="O114" s="156"/>
      <c r="P114" s="156"/>
      <c r="Q114" s="157"/>
      <c r="R114" s="157"/>
      <c r="S114" s="157"/>
    </row>
    <row r="115" spans="1:19" ht="173.25">
      <c r="A115" s="148" t="s">
        <v>118</v>
      </c>
      <c r="B115" s="158">
        <v>1110</v>
      </c>
      <c r="C115" s="208"/>
      <c r="D115" s="208"/>
      <c r="E115" s="208"/>
      <c r="F115" s="208"/>
      <c r="G115" s="208"/>
      <c r="H115" s="208"/>
      <c r="I115" s="208"/>
      <c r="J115" s="208"/>
      <c r="K115" s="208"/>
      <c r="L115" s="153"/>
      <c r="M115" s="154"/>
      <c r="N115" s="159"/>
      <c r="O115" s="156"/>
      <c r="P115" s="156"/>
      <c r="Q115" s="157"/>
      <c r="R115" s="157"/>
      <c r="S115" s="157"/>
    </row>
    <row r="116" spans="1:19" ht="189">
      <c r="A116" s="148" t="s">
        <v>119</v>
      </c>
      <c r="B116" s="158">
        <v>1111</v>
      </c>
      <c r="C116" s="150" t="s">
        <v>399</v>
      </c>
      <c r="D116" s="150" t="s">
        <v>427</v>
      </c>
      <c r="E116" s="150" t="s">
        <v>358</v>
      </c>
      <c r="F116" s="208"/>
      <c r="G116" s="208"/>
      <c r="H116" s="208"/>
      <c r="I116" s="208"/>
      <c r="J116" s="208"/>
      <c r="K116" s="208"/>
      <c r="L116" s="153" t="s">
        <v>303</v>
      </c>
      <c r="M116" s="154" t="s">
        <v>305</v>
      </c>
      <c r="N116" s="159">
        <f>188</f>
        <v>188</v>
      </c>
      <c r="O116" s="156">
        <v>188</v>
      </c>
      <c r="P116" s="156">
        <v>0</v>
      </c>
      <c r="Q116" s="156">
        <v>0</v>
      </c>
      <c r="R116" s="156">
        <v>0</v>
      </c>
      <c r="S116" s="156">
        <v>0</v>
      </c>
    </row>
    <row r="117" spans="1:19" ht="173.25">
      <c r="A117" s="148" t="s">
        <v>120</v>
      </c>
      <c r="B117" s="158">
        <v>1112</v>
      </c>
      <c r="C117" s="208"/>
      <c r="D117" s="208"/>
      <c r="E117" s="208"/>
      <c r="F117" s="208"/>
      <c r="G117" s="208"/>
      <c r="H117" s="208"/>
      <c r="I117" s="208"/>
      <c r="J117" s="208"/>
      <c r="K117" s="208"/>
      <c r="L117" s="153"/>
      <c r="M117" s="154"/>
      <c r="N117" s="159"/>
      <c r="O117" s="156"/>
      <c r="P117" s="156"/>
      <c r="Q117" s="157"/>
      <c r="R117" s="157"/>
      <c r="S117" s="157"/>
    </row>
    <row r="118" spans="1:19" ht="362.25">
      <c r="A118" s="148" t="s">
        <v>121</v>
      </c>
      <c r="B118" s="158">
        <v>1113</v>
      </c>
      <c r="C118" s="150" t="s">
        <v>428</v>
      </c>
      <c r="D118" s="150" t="s">
        <v>429</v>
      </c>
      <c r="E118" s="150" t="s">
        <v>430</v>
      </c>
      <c r="F118" s="208"/>
      <c r="G118" s="208"/>
      <c r="H118" s="208"/>
      <c r="I118" s="168" t="s">
        <v>1010</v>
      </c>
      <c r="J118" s="21" t="s">
        <v>993</v>
      </c>
      <c r="K118" s="21" t="s">
        <v>994</v>
      </c>
      <c r="L118" s="153" t="s">
        <v>307</v>
      </c>
      <c r="M118" s="154" t="s">
        <v>308</v>
      </c>
      <c r="N118" s="155">
        <f>1045+5722.4</f>
        <v>6767.4</v>
      </c>
      <c r="O118" s="156">
        <f>1045+5722.4</f>
        <v>6767.4</v>
      </c>
      <c r="P118" s="156">
        <f>200+5800</f>
        <v>6000</v>
      </c>
      <c r="Q118" s="157">
        <f>200+5800</f>
        <v>6000</v>
      </c>
      <c r="R118" s="157">
        <f>200+5800</f>
        <v>6000</v>
      </c>
      <c r="S118" s="157">
        <f>200+5800</f>
        <v>6000</v>
      </c>
    </row>
    <row r="119" spans="1:19" ht="47.25">
      <c r="A119" s="148" t="s">
        <v>122</v>
      </c>
      <c r="B119" s="158">
        <v>1114</v>
      </c>
      <c r="C119" s="208"/>
      <c r="D119" s="208"/>
      <c r="E119" s="208"/>
      <c r="F119" s="208"/>
      <c r="G119" s="208"/>
      <c r="H119" s="208"/>
      <c r="I119" s="208"/>
      <c r="J119" s="208"/>
      <c r="K119" s="208"/>
      <c r="L119" s="153"/>
      <c r="M119" s="154"/>
      <c r="N119" s="159"/>
      <c r="O119" s="156"/>
      <c r="P119" s="156"/>
      <c r="Q119" s="157"/>
      <c r="R119" s="157"/>
      <c r="S119" s="157"/>
    </row>
    <row r="120" spans="1:19" ht="236.25">
      <c r="A120" s="148" t="s">
        <v>123</v>
      </c>
      <c r="B120" s="158">
        <v>1115</v>
      </c>
      <c r="C120" s="150"/>
      <c r="D120" s="150"/>
      <c r="E120" s="150"/>
      <c r="F120" s="202"/>
      <c r="G120" s="202"/>
      <c r="H120" s="202"/>
      <c r="I120" s="202"/>
      <c r="J120" s="202"/>
      <c r="K120" s="202"/>
      <c r="L120" s="153"/>
      <c r="M120" s="154"/>
      <c r="N120" s="159"/>
      <c r="O120" s="156"/>
      <c r="P120" s="156"/>
      <c r="Q120" s="157"/>
      <c r="R120" s="157"/>
      <c r="S120" s="157"/>
    </row>
    <row r="121" spans="1:19" ht="204.75">
      <c r="A121" s="148" t="s">
        <v>124</v>
      </c>
      <c r="B121" s="158">
        <v>1116</v>
      </c>
      <c r="C121" s="208"/>
      <c r="D121" s="208"/>
      <c r="E121" s="208"/>
      <c r="F121" s="208"/>
      <c r="G121" s="208"/>
      <c r="H121" s="208"/>
      <c r="I121" s="208"/>
      <c r="J121" s="208"/>
      <c r="K121" s="208"/>
      <c r="L121" s="153"/>
      <c r="M121" s="154"/>
      <c r="N121" s="159"/>
      <c r="O121" s="156"/>
      <c r="P121" s="156"/>
      <c r="Q121" s="157"/>
      <c r="R121" s="157"/>
      <c r="S121" s="157"/>
    </row>
    <row r="122" spans="1:19" ht="15.75">
      <c r="A122" s="148" t="s">
        <v>13</v>
      </c>
      <c r="B122" s="158">
        <v>1117</v>
      </c>
      <c r="C122" s="202"/>
      <c r="D122" s="216"/>
      <c r="E122" s="216"/>
      <c r="F122" s="202"/>
      <c r="G122" s="216"/>
      <c r="H122" s="216"/>
      <c r="I122" s="216"/>
      <c r="J122" s="216"/>
      <c r="K122" s="216"/>
      <c r="L122" s="153"/>
      <c r="M122" s="154"/>
      <c r="N122" s="159"/>
      <c r="O122" s="156"/>
      <c r="P122" s="156"/>
      <c r="Q122" s="157"/>
      <c r="R122" s="157"/>
      <c r="S122" s="157"/>
    </row>
    <row r="123" spans="1:19" ht="15.75">
      <c r="A123" s="148" t="s">
        <v>13</v>
      </c>
      <c r="B123" s="158">
        <v>1118</v>
      </c>
      <c r="C123" s="202"/>
      <c r="D123" s="216"/>
      <c r="E123" s="216"/>
      <c r="F123" s="202"/>
      <c r="G123" s="216"/>
      <c r="H123" s="216"/>
      <c r="I123" s="216"/>
      <c r="J123" s="216"/>
      <c r="K123" s="216"/>
      <c r="L123" s="153"/>
      <c r="M123" s="154"/>
      <c r="N123" s="159"/>
      <c r="O123" s="156"/>
      <c r="P123" s="156"/>
      <c r="Q123" s="157"/>
      <c r="R123" s="157"/>
      <c r="S123" s="157"/>
    </row>
    <row r="124" spans="1:19" ht="141.75">
      <c r="A124" s="143" t="s">
        <v>138</v>
      </c>
      <c r="B124" s="209" t="s">
        <v>18</v>
      </c>
      <c r="C124" s="210" t="s">
        <v>12</v>
      </c>
      <c r="D124" s="211" t="s">
        <v>12</v>
      </c>
      <c r="E124" s="211" t="s">
        <v>12</v>
      </c>
      <c r="F124" s="210" t="s">
        <v>12</v>
      </c>
      <c r="G124" s="211" t="s">
        <v>12</v>
      </c>
      <c r="H124" s="211" t="s">
        <v>12</v>
      </c>
      <c r="I124" s="211"/>
      <c r="J124" s="211"/>
      <c r="K124" s="211"/>
      <c r="L124" s="212" t="s">
        <v>12</v>
      </c>
      <c r="M124" s="147" t="s">
        <v>12</v>
      </c>
      <c r="N124" s="142">
        <f aca="true" t="shared" si="3" ref="N124:S124">N125+N137+N140</f>
        <v>4480.2</v>
      </c>
      <c r="O124" s="142">
        <f t="shared" si="3"/>
        <v>4420</v>
      </c>
      <c r="P124" s="142">
        <f t="shared" si="3"/>
        <v>5539.7</v>
      </c>
      <c r="Q124" s="213">
        <f t="shared" si="3"/>
        <v>3462.2</v>
      </c>
      <c r="R124" s="213">
        <f t="shared" si="3"/>
        <v>4272.2</v>
      </c>
      <c r="S124" s="213">
        <f t="shared" si="3"/>
        <v>4272.2</v>
      </c>
    </row>
    <row r="125" spans="1:19" ht="78.75">
      <c r="A125" s="148" t="s">
        <v>136</v>
      </c>
      <c r="B125" s="217">
        <v>1201</v>
      </c>
      <c r="C125" s="210" t="s">
        <v>12</v>
      </c>
      <c r="D125" s="211" t="s">
        <v>12</v>
      </c>
      <c r="E125" s="211" t="s">
        <v>12</v>
      </c>
      <c r="F125" s="210" t="s">
        <v>12</v>
      </c>
      <c r="G125" s="211" t="s">
        <v>12</v>
      </c>
      <c r="H125" s="211" t="s">
        <v>12</v>
      </c>
      <c r="I125" s="218"/>
      <c r="J125" s="218"/>
      <c r="K125" s="218"/>
      <c r="L125" s="212" t="s">
        <v>12</v>
      </c>
      <c r="M125" s="147" t="s">
        <v>12</v>
      </c>
      <c r="N125" s="142">
        <f aca="true" t="shared" si="4" ref="N125:S125">SUM(N126:N136)</f>
        <v>4480.2</v>
      </c>
      <c r="O125" s="142">
        <f t="shared" si="4"/>
        <v>4420</v>
      </c>
      <c r="P125" s="142">
        <f t="shared" si="4"/>
        <v>5539.7</v>
      </c>
      <c r="Q125" s="213">
        <f t="shared" si="4"/>
        <v>3462.2</v>
      </c>
      <c r="R125" s="213">
        <f t="shared" si="4"/>
        <v>4272.2</v>
      </c>
      <c r="S125" s="213">
        <f t="shared" si="4"/>
        <v>4272.2</v>
      </c>
    </row>
    <row r="126" spans="1:19" ht="409.5" customHeight="1">
      <c r="A126" s="148" t="s">
        <v>125</v>
      </c>
      <c r="B126" s="158">
        <v>1202</v>
      </c>
      <c r="C126" s="173" t="s">
        <v>409</v>
      </c>
      <c r="D126" s="173" t="s">
        <v>410</v>
      </c>
      <c r="E126" s="173" t="s">
        <v>411</v>
      </c>
      <c r="F126" s="173" t="s">
        <v>406</v>
      </c>
      <c r="G126" s="191" t="s">
        <v>407</v>
      </c>
      <c r="H126" s="177" t="s">
        <v>408</v>
      </c>
      <c r="I126" s="173" t="s">
        <v>970</v>
      </c>
      <c r="J126" s="173" t="s">
        <v>833</v>
      </c>
      <c r="K126" s="173" t="s">
        <v>832</v>
      </c>
      <c r="L126" s="153" t="s">
        <v>299</v>
      </c>
      <c r="M126" s="154" t="s">
        <v>303</v>
      </c>
      <c r="N126" s="155">
        <f>3498</f>
        <v>3498</v>
      </c>
      <c r="O126" s="156">
        <v>3498</v>
      </c>
      <c r="P126" s="156">
        <f>3462.2+150+300+100</f>
        <v>4012.2</v>
      </c>
      <c r="Q126" s="157">
        <f>3462.2</f>
        <v>3462.2</v>
      </c>
      <c r="R126" s="157">
        <f>3462.2+150+300+100</f>
        <v>4012.2</v>
      </c>
      <c r="S126" s="157">
        <f>3462.2+150+300+100</f>
        <v>4012.2</v>
      </c>
    </row>
    <row r="127" spans="1:19" ht="31.5">
      <c r="A127" s="148" t="s">
        <v>126</v>
      </c>
      <c r="B127" s="158">
        <v>1203</v>
      </c>
      <c r="C127" s="208"/>
      <c r="D127" s="208"/>
      <c r="E127" s="208"/>
      <c r="F127" s="208"/>
      <c r="G127" s="208"/>
      <c r="H127" s="208"/>
      <c r="I127" s="208"/>
      <c r="J127" s="208"/>
      <c r="K127" s="208"/>
      <c r="L127" s="153"/>
      <c r="M127" s="154"/>
      <c r="N127" s="159"/>
      <c r="O127" s="156"/>
      <c r="P127" s="156"/>
      <c r="Q127" s="157"/>
      <c r="R127" s="157"/>
      <c r="S127" s="157"/>
    </row>
    <row r="128" spans="1:19" ht="78.75">
      <c r="A128" s="148" t="s">
        <v>127</v>
      </c>
      <c r="B128" s="158">
        <v>1204</v>
      </c>
      <c r="C128" s="208"/>
      <c r="D128" s="208"/>
      <c r="E128" s="208"/>
      <c r="F128" s="208"/>
      <c r="G128" s="208"/>
      <c r="H128" s="208"/>
      <c r="I128" s="208"/>
      <c r="J128" s="208"/>
      <c r="K128" s="208"/>
      <c r="L128" s="153"/>
      <c r="M128" s="154"/>
      <c r="N128" s="159"/>
      <c r="O128" s="156"/>
      <c r="P128" s="156"/>
      <c r="Q128" s="157"/>
      <c r="R128" s="157"/>
      <c r="S128" s="157"/>
    </row>
    <row r="129" spans="1:19" ht="78.75">
      <c r="A129" s="148" t="s">
        <v>128</v>
      </c>
      <c r="B129" s="158">
        <v>1205</v>
      </c>
      <c r="C129" s="208"/>
      <c r="D129" s="208"/>
      <c r="E129" s="208"/>
      <c r="F129" s="208"/>
      <c r="G129" s="208"/>
      <c r="H129" s="208"/>
      <c r="I129" s="208"/>
      <c r="J129" s="208"/>
      <c r="K129" s="208"/>
      <c r="L129" s="153"/>
      <c r="M129" s="154"/>
      <c r="N129" s="159"/>
      <c r="O129" s="156"/>
      <c r="P129" s="156"/>
      <c r="Q129" s="157"/>
      <c r="R129" s="157"/>
      <c r="S129" s="157"/>
    </row>
    <row r="130" spans="1:19" ht="78.75">
      <c r="A130" s="148" t="s">
        <v>129</v>
      </c>
      <c r="B130" s="158">
        <v>1206</v>
      </c>
      <c r="C130" s="208"/>
      <c r="D130" s="208"/>
      <c r="E130" s="208"/>
      <c r="F130" s="208"/>
      <c r="G130" s="208"/>
      <c r="H130" s="208"/>
      <c r="I130" s="208"/>
      <c r="J130" s="208"/>
      <c r="K130" s="208"/>
      <c r="L130" s="153"/>
      <c r="M130" s="154"/>
      <c r="N130" s="159"/>
      <c r="O130" s="156"/>
      <c r="P130" s="156"/>
      <c r="Q130" s="157"/>
      <c r="R130" s="157"/>
      <c r="S130" s="157"/>
    </row>
    <row r="131" spans="1:19" ht="141.75">
      <c r="A131" s="148" t="s">
        <v>130</v>
      </c>
      <c r="B131" s="158">
        <v>1207</v>
      </c>
      <c r="C131" s="173" t="s">
        <v>591</v>
      </c>
      <c r="D131" s="173" t="s">
        <v>590</v>
      </c>
      <c r="E131" s="173" t="s">
        <v>592</v>
      </c>
      <c r="F131" s="202" t="s">
        <v>465</v>
      </c>
      <c r="G131" s="202" t="s">
        <v>435</v>
      </c>
      <c r="H131" s="202" t="s">
        <v>466</v>
      </c>
      <c r="I131" s="219" t="s">
        <v>1001</v>
      </c>
      <c r="J131" s="219" t="s">
        <v>1002</v>
      </c>
      <c r="K131" s="219" t="s">
        <v>1003</v>
      </c>
      <c r="L131" s="153" t="s">
        <v>756</v>
      </c>
      <c r="M131" s="154" t="s">
        <v>757</v>
      </c>
      <c r="N131" s="159">
        <f>457.6+114.6+30+96+30-126</f>
        <v>602.2</v>
      </c>
      <c r="O131" s="156">
        <f>457.6+84.4</f>
        <v>542</v>
      </c>
      <c r="P131" s="156">
        <f>30+260+837.5</f>
        <v>1127.5</v>
      </c>
      <c r="Q131" s="157">
        <f>0</f>
        <v>0</v>
      </c>
      <c r="R131" s="157">
        <f>260</f>
        <v>260</v>
      </c>
      <c r="S131" s="157">
        <f>260</f>
        <v>260</v>
      </c>
    </row>
    <row r="132" spans="1:19" ht="94.5">
      <c r="A132" s="148" t="s">
        <v>131</v>
      </c>
      <c r="B132" s="158">
        <v>1208</v>
      </c>
      <c r="C132" s="214"/>
      <c r="D132" s="214"/>
      <c r="E132" s="214"/>
      <c r="F132" s="208"/>
      <c r="G132" s="208"/>
      <c r="H132" s="208"/>
      <c r="I132" s="214"/>
      <c r="J132" s="214"/>
      <c r="K132" s="214"/>
      <c r="L132" s="153"/>
      <c r="M132" s="154"/>
      <c r="N132" s="159"/>
      <c r="O132" s="156"/>
      <c r="P132" s="156"/>
      <c r="Q132" s="157"/>
      <c r="R132" s="157"/>
      <c r="S132" s="157"/>
    </row>
    <row r="133" spans="1:19" ht="138.75" customHeight="1">
      <c r="A133" s="148" t="s">
        <v>132</v>
      </c>
      <c r="B133" s="158">
        <v>1209</v>
      </c>
      <c r="C133" s="219" t="s">
        <v>834</v>
      </c>
      <c r="D133" s="220" t="s">
        <v>836</v>
      </c>
      <c r="E133" s="220" t="s">
        <v>835</v>
      </c>
      <c r="F133" s="221"/>
      <c r="G133" s="208"/>
      <c r="H133" s="215"/>
      <c r="I133" s="173" t="s">
        <v>826</v>
      </c>
      <c r="J133" s="173" t="s">
        <v>435</v>
      </c>
      <c r="K133" s="173" t="s">
        <v>827</v>
      </c>
      <c r="L133" s="153" t="s">
        <v>780</v>
      </c>
      <c r="M133" s="154"/>
      <c r="N133" s="159">
        <v>380</v>
      </c>
      <c r="O133" s="156">
        <v>380</v>
      </c>
      <c r="P133" s="156">
        <v>400</v>
      </c>
      <c r="Q133" s="157">
        <v>0</v>
      </c>
      <c r="R133" s="157">
        <v>0</v>
      </c>
      <c r="S133" s="157">
        <v>0</v>
      </c>
    </row>
    <row r="134" spans="1:19" ht="47.25">
      <c r="A134" s="148" t="s">
        <v>133</v>
      </c>
      <c r="B134" s="158">
        <v>1210</v>
      </c>
      <c r="C134" s="208"/>
      <c r="D134" s="208"/>
      <c r="E134" s="208"/>
      <c r="F134" s="208"/>
      <c r="G134" s="208"/>
      <c r="H134" s="215"/>
      <c r="I134" s="173"/>
      <c r="J134" s="191"/>
      <c r="K134" s="173"/>
      <c r="L134" s="153"/>
      <c r="M134" s="154"/>
      <c r="N134" s="159"/>
      <c r="O134" s="156"/>
      <c r="P134" s="156"/>
      <c r="Q134" s="157"/>
      <c r="R134" s="157"/>
      <c r="S134" s="157"/>
    </row>
    <row r="135" spans="1:19" ht="78.75">
      <c r="A135" s="148" t="s">
        <v>134</v>
      </c>
      <c r="B135" s="158">
        <v>1211</v>
      </c>
      <c r="C135" s="208"/>
      <c r="D135" s="208"/>
      <c r="E135" s="208"/>
      <c r="F135" s="208"/>
      <c r="G135" s="208"/>
      <c r="H135" s="208"/>
      <c r="I135" s="222"/>
      <c r="J135" s="222"/>
      <c r="K135" s="222"/>
      <c r="L135" s="153"/>
      <c r="M135" s="154"/>
      <c r="N135" s="159"/>
      <c r="O135" s="156"/>
      <c r="P135" s="156"/>
      <c r="Q135" s="157"/>
      <c r="R135" s="157"/>
      <c r="S135" s="157"/>
    </row>
    <row r="136" spans="1:19" ht="78.75">
      <c r="A136" s="148" t="s">
        <v>135</v>
      </c>
      <c r="B136" s="158">
        <v>1212</v>
      </c>
      <c r="C136" s="208"/>
      <c r="D136" s="208"/>
      <c r="E136" s="208"/>
      <c r="F136" s="208"/>
      <c r="G136" s="208"/>
      <c r="H136" s="208"/>
      <c r="I136" s="208"/>
      <c r="J136" s="208"/>
      <c r="K136" s="208"/>
      <c r="L136" s="153"/>
      <c r="M136" s="154"/>
      <c r="N136" s="159"/>
      <c r="O136" s="156"/>
      <c r="P136" s="156"/>
      <c r="Q136" s="157"/>
      <c r="R136" s="157"/>
      <c r="S136" s="157"/>
    </row>
    <row r="137" spans="1:19" ht="141.75">
      <c r="A137" s="143" t="s">
        <v>137</v>
      </c>
      <c r="B137" s="217">
        <v>1300</v>
      </c>
      <c r="C137" s="210" t="s">
        <v>12</v>
      </c>
      <c r="D137" s="211" t="s">
        <v>12</v>
      </c>
      <c r="E137" s="211" t="s">
        <v>12</v>
      </c>
      <c r="F137" s="210" t="s">
        <v>12</v>
      </c>
      <c r="G137" s="211" t="s">
        <v>12</v>
      </c>
      <c r="H137" s="211" t="s">
        <v>12</v>
      </c>
      <c r="I137" s="211"/>
      <c r="J137" s="211"/>
      <c r="K137" s="211"/>
      <c r="L137" s="212" t="s">
        <v>12</v>
      </c>
      <c r="M137" s="147" t="s">
        <v>12</v>
      </c>
      <c r="N137" s="142">
        <f aca="true" t="shared" si="5" ref="N137:S137">SUM(N138:N139)</f>
        <v>0</v>
      </c>
      <c r="O137" s="142">
        <f t="shared" si="5"/>
        <v>0</v>
      </c>
      <c r="P137" s="142">
        <f t="shared" si="5"/>
        <v>0</v>
      </c>
      <c r="Q137" s="142">
        <f t="shared" si="5"/>
        <v>0</v>
      </c>
      <c r="R137" s="142">
        <f t="shared" si="5"/>
        <v>0</v>
      </c>
      <c r="S137" s="142">
        <f t="shared" si="5"/>
        <v>0</v>
      </c>
    </row>
    <row r="138" spans="1:19" ht="15.75">
      <c r="A138" s="148" t="s">
        <v>13</v>
      </c>
      <c r="B138" s="158">
        <v>1301</v>
      </c>
      <c r="C138" s="202"/>
      <c r="D138" s="216"/>
      <c r="E138" s="216"/>
      <c r="F138" s="202"/>
      <c r="G138" s="216"/>
      <c r="H138" s="216"/>
      <c r="I138" s="216"/>
      <c r="J138" s="216"/>
      <c r="K138" s="216"/>
      <c r="L138" s="153"/>
      <c r="M138" s="154"/>
      <c r="N138" s="156"/>
      <c r="O138" s="156"/>
      <c r="P138" s="156"/>
      <c r="Q138" s="157"/>
      <c r="R138" s="157"/>
      <c r="S138" s="157"/>
    </row>
    <row r="139" spans="1:19" ht="15.75">
      <c r="A139" s="148" t="s">
        <v>13</v>
      </c>
      <c r="B139" s="158">
        <v>1302</v>
      </c>
      <c r="C139" s="202"/>
      <c r="D139" s="216"/>
      <c r="E139" s="216"/>
      <c r="F139" s="202"/>
      <c r="G139" s="216"/>
      <c r="H139" s="216"/>
      <c r="I139" s="216"/>
      <c r="J139" s="216"/>
      <c r="K139" s="216"/>
      <c r="L139" s="153"/>
      <c r="M139" s="154"/>
      <c r="N139" s="156"/>
      <c r="O139" s="156"/>
      <c r="P139" s="156"/>
      <c r="Q139" s="157"/>
      <c r="R139" s="157"/>
      <c r="S139" s="157"/>
    </row>
    <row r="140" spans="1:19" ht="126">
      <c r="A140" s="143" t="s">
        <v>139</v>
      </c>
      <c r="B140" s="217">
        <v>1400</v>
      </c>
      <c r="C140" s="210" t="s">
        <v>12</v>
      </c>
      <c r="D140" s="211" t="s">
        <v>12</v>
      </c>
      <c r="E140" s="211" t="s">
        <v>12</v>
      </c>
      <c r="F140" s="210" t="s">
        <v>12</v>
      </c>
      <c r="G140" s="211" t="s">
        <v>12</v>
      </c>
      <c r="H140" s="211" t="s">
        <v>12</v>
      </c>
      <c r="I140" s="211"/>
      <c r="J140" s="211"/>
      <c r="K140" s="211"/>
      <c r="L140" s="212" t="s">
        <v>12</v>
      </c>
      <c r="M140" s="147" t="s">
        <v>12</v>
      </c>
      <c r="N140" s="142">
        <f aca="true" t="shared" si="6" ref="N140:S140">SUM(N141:N142)</f>
        <v>0</v>
      </c>
      <c r="O140" s="142">
        <f t="shared" si="6"/>
        <v>0</v>
      </c>
      <c r="P140" s="142">
        <f t="shared" si="6"/>
        <v>0</v>
      </c>
      <c r="Q140" s="142">
        <f t="shared" si="6"/>
        <v>0</v>
      </c>
      <c r="R140" s="142">
        <f t="shared" si="6"/>
        <v>0</v>
      </c>
      <c r="S140" s="142">
        <f t="shared" si="6"/>
        <v>0</v>
      </c>
    </row>
    <row r="141" spans="1:19" ht="15.75">
      <c r="A141" s="148" t="s">
        <v>13</v>
      </c>
      <c r="B141" s="158">
        <v>1401</v>
      </c>
      <c r="C141" s="202"/>
      <c r="D141" s="216"/>
      <c r="E141" s="216"/>
      <c r="F141" s="202"/>
      <c r="G141" s="216"/>
      <c r="H141" s="216"/>
      <c r="I141" s="216"/>
      <c r="J141" s="216"/>
      <c r="K141" s="216"/>
      <c r="L141" s="153"/>
      <c r="M141" s="154"/>
      <c r="N141" s="156"/>
      <c r="O141" s="156"/>
      <c r="P141" s="156"/>
      <c r="Q141" s="157"/>
      <c r="R141" s="157"/>
      <c r="S141" s="157"/>
    </row>
    <row r="142" spans="1:19" ht="15.75">
      <c r="A142" s="148" t="s">
        <v>13</v>
      </c>
      <c r="B142" s="158">
        <v>1402</v>
      </c>
      <c r="C142" s="202"/>
      <c r="D142" s="216"/>
      <c r="E142" s="216"/>
      <c r="F142" s="202"/>
      <c r="G142" s="216"/>
      <c r="H142" s="216"/>
      <c r="I142" s="216"/>
      <c r="J142" s="216"/>
      <c r="K142" s="216"/>
      <c r="L142" s="153"/>
      <c r="M142" s="154"/>
      <c r="N142" s="156"/>
      <c r="O142" s="156"/>
      <c r="P142" s="156"/>
      <c r="Q142" s="157"/>
      <c r="R142" s="157"/>
      <c r="S142" s="157"/>
    </row>
    <row r="143" spans="1:19" ht="189">
      <c r="A143" s="143" t="s">
        <v>19</v>
      </c>
      <c r="B143" s="217">
        <v>1500</v>
      </c>
      <c r="C143" s="210" t="s">
        <v>12</v>
      </c>
      <c r="D143" s="211" t="s">
        <v>12</v>
      </c>
      <c r="E143" s="211" t="s">
        <v>12</v>
      </c>
      <c r="F143" s="210" t="s">
        <v>12</v>
      </c>
      <c r="G143" s="211" t="s">
        <v>12</v>
      </c>
      <c r="H143" s="211" t="s">
        <v>12</v>
      </c>
      <c r="I143" s="211"/>
      <c r="J143" s="211"/>
      <c r="K143" s="211"/>
      <c r="L143" s="212" t="s">
        <v>12</v>
      </c>
      <c r="M143" s="147" t="s">
        <v>12</v>
      </c>
      <c r="N143" s="142">
        <f aca="true" t="shared" si="7" ref="N143:S143">N144+N186</f>
        <v>1184595.4</v>
      </c>
      <c r="O143" s="142">
        <f t="shared" si="7"/>
        <v>1170973.9999999995</v>
      </c>
      <c r="P143" s="142">
        <f t="shared" si="7"/>
        <v>1237373.5000000002</v>
      </c>
      <c r="Q143" s="213">
        <f t="shared" si="7"/>
        <v>1273228</v>
      </c>
      <c r="R143" s="213">
        <f t="shared" si="7"/>
        <v>1275188.5</v>
      </c>
      <c r="S143" s="213">
        <f t="shared" si="7"/>
        <v>1275188.5</v>
      </c>
    </row>
    <row r="144" spans="1:19" ht="63">
      <c r="A144" s="143" t="s">
        <v>140</v>
      </c>
      <c r="B144" s="217">
        <v>1501</v>
      </c>
      <c r="C144" s="210" t="s">
        <v>12</v>
      </c>
      <c r="D144" s="211" t="s">
        <v>12</v>
      </c>
      <c r="E144" s="211" t="s">
        <v>12</v>
      </c>
      <c r="F144" s="210" t="s">
        <v>12</v>
      </c>
      <c r="G144" s="211" t="s">
        <v>12</v>
      </c>
      <c r="H144" s="211" t="s">
        <v>12</v>
      </c>
      <c r="I144" s="211"/>
      <c r="J144" s="211"/>
      <c r="K144" s="211"/>
      <c r="L144" s="212" t="s">
        <v>12</v>
      </c>
      <c r="M144" s="147" t="s">
        <v>12</v>
      </c>
      <c r="N144" s="142">
        <f aca="true" t="shared" si="8" ref="N144:S144">N145+N146+N147+N148+N152+N160+N164+N167+N168+N169+N170+N171+N174+N177+N178</f>
        <v>1184595.4</v>
      </c>
      <c r="O144" s="142">
        <f t="shared" si="8"/>
        <v>1170973.9999999995</v>
      </c>
      <c r="P144" s="142">
        <f t="shared" si="8"/>
        <v>1237373.5000000002</v>
      </c>
      <c r="Q144" s="142">
        <f t="shared" si="8"/>
        <v>1273228</v>
      </c>
      <c r="R144" s="142">
        <f t="shared" si="8"/>
        <v>1275188.5</v>
      </c>
      <c r="S144" s="142">
        <f t="shared" si="8"/>
        <v>1275188.5</v>
      </c>
    </row>
    <row r="145" spans="1:19" ht="94.5">
      <c r="A145" s="148" t="s">
        <v>781</v>
      </c>
      <c r="B145" s="158">
        <v>1502</v>
      </c>
      <c r="C145" s="151" t="s">
        <v>436</v>
      </c>
      <c r="D145" s="151" t="s">
        <v>437</v>
      </c>
      <c r="E145" s="151" t="s">
        <v>358</v>
      </c>
      <c r="F145" s="223" t="s">
        <v>447</v>
      </c>
      <c r="G145" s="224" t="s">
        <v>439</v>
      </c>
      <c r="H145" s="224" t="s">
        <v>448</v>
      </c>
      <c r="I145" s="168" t="s">
        <v>897</v>
      </c>
      <c r="J145" s="168" t="s">
        <v>898</v>
      </c>
      <c r="K145" s="168" t="s">
        <v>899</v>
      </c>
      <c r="L145" s="153" t="s">
        <v>303</v>
      </c>
      <c r="M145" s="154" t="s">
        <v>305</v>
      </c>
      <c r="N145" s="157">
        <f>4134.3</f>
        <v>4134.3</v>
      </c>
      <c r="O145" s="156">
        <v>4134.3</v>
      </c>
      <c r="P145" s="156">
        <v>2897.6</v>
      </c>
      <c r="Q145" s="157">
        <f>0</f>
        <v>0</v>
      </c>
      <c r="R145" s="157">
        <f>0</f>
        <v>0</v>
      </c>
      <c r="S145" s="157">
        <f>0</f>
        <v>0</v>
      </c>
    </row>
    <row r="146" spans="1:19" ht="267.75">
      <c r="A146" s="148" t="s">
        <v>782</v>
      </c>
      <c r="B146" s="158">
        <v>1503</v>
      </c>
      <c r="C146" s="224" t="s">
        <v>431</v>
      </c>
      <c r="D146" s="224" t="s">
        <v>432</v>
      </c>
      <c r="E146" s="224" t="s">
        <v>433</v>
      </c>
      <c r="F146" s="224" t="s">
        <v>434</v>
      </c>
      <c r="G146" s="224" t="s">
        <v>435</v>
      </c>
      <c r="H146" s="224" t="s">
        <v>441</v>
      </c>
      <c r="I146" s="224"/>
      <c r="J146" s="224"/>
      <c r="K146" s="224"/>
      <c r="L146" s="153" t="s">
        <v>303</v>
      </c>
      <c r="M146" s="154" t="s">
        <v>304</v>
      </c>
      <c r="N146" s="156">
        <v>5.4</v>
      </c>
      <c r="O146" s="156">
        <v>0</v>
      </c>
      <c r="P146" s="156">
        <v>11.1</v>
      </c>
      <c r="Q146" s="157">
        <v>0</v>
      </c>
      <c r="R146" s="157">
        <v>0</v>
      </c>
      <c r="S146" s="157">
        <v>0</v>
      </c>
    </row>
    <row r="147" spans="1:19" ht="409.5">
      <c r="A147" s="148" t="s">
        <v>783</v>
      </c>
      <c r="B147" s="158">
        <v>1504</v>
      </c>
      <c r="C147" s="223" t="s">
        <v>493</v>
      </c>
      <c r="D147" s="223" t="s">
        <v>495</v>
      </c>
      <c r="E147" s="223" t="s">
        <v>494</v>
      </c>
      <c r="F147" s="223" t="s">
        <v>1024</v>
      </c>
      <c r="G147" s="224" t="s">
        <v>496</v>
      </c>
      <c r="H147" s="224" t="s">
        <v>497</v>
      </c>
      <c r="I147" s="169" t="s">
        <v>1042</v>
      </c>
      <c r="J147" s="168" t="s">
        <v>885</v>
      </c>
      <c r="K147" s="168" t="s">
        <v>900</v>
      </c>
      <c r="L147" s="153" t="s">
        <v>299</v>
      </c>
      <c r="M147" s="154" t="s">
        <v>300</v>
      </c>
      <c r="N147" s="156">
        <f>604.6</f>
        <v>604.6</v>
      </c>
      <c r="O147" s="156">
        <v>572.6</v>
      </c>
      <c r="P147" s="156">
        <f>564</f>
        <v>564</v>
      </c>
      <c r="Q147" s="157">
        <v>609.5</v>
      </c>
      <c r="R147" s="157">
        <v>609.5</v>
      </c>
      <c r="S147" s="157">
        <v>609.5</v>
      </c>
    </row>
    <row r="148" spans="1:19" ht="189">
      <c r="A148" s="225" t="s">
        <v>784</v>
      </c>
      <c r="B148" s="158">
        <v>1510</v>
      </c>
      <c r="C148" s="223"/>
      <c r="D148" s="223"/>
      <c r="E148" s="223"/>
      <c r="F148" s="223"/>
      <c r="G148" s="224"/>
      <c r="H148" s="224"/>
      <c r="I148" s="226"/>
      <c r="J148" s="226"/>
      <c r="K148" s="226"/>
      <c r="L148" s="153"/>
      <c r="M148" s="154"/>
      <c r="N148" s="156">
        <f aca="true" t="shared" si="9" ref="N148:S148">SUM(N149:N151)</f>
        <v>2070.2</v>
      </c>
      <c r="O148" s="156">
        <f t="shared" si="9"/>
        <v>1113</v>
      </c>
      <c r="P148" s="156">
        <f t="shared" si="9"/>
        <v>790.8</v>
      </c>
      <c r="Q148" s="156">
        <f t="shared" si="9"/>
        <v>793.9</v>
      </c>
      <c r="R148" s="156">
        <f t="shared" si="9"/>
        <v>793.9</v>
      </c>
      <c r="S148" s="156">
        <f t="shared" si="9"/>
        <v>793.9</v>
      </c>
    </row>
    <row r="149" spans="1:19" s="236" customFormat="1" ht="346.5">
      <c r="A149" s="143" t="s">
        <v>150</v>
      </c>
      <c r="B149" s="158">
        <v>1510</v>
      </c>
      <c r="C149" s="227" t="s">
        <v>452</v>
      </c>
      <c r="D149" s="227" t="s">
        <v>454</v>
      </c>
      <c r="E149" s="227" t="s">
        <v>453</v>
      </c>
      <c r="F149" s="228" t="s">
        <v>1043</v>
      </c>
      <c r="G149" s="228" t="s">
        <v>456</v>
      </c>
      <c r="H149" s="229" t="s">
        <v>455</v>
      </c>
      <c r="I149" s="230" t="s">
        <v>1025</v>
      </c>
      <c r="J149" s="231" t="s">
        <v>819</v>
      </c>
      <c r="K149" s="228" t="s">
        <v>843</v>
      </c>
      <c r="L149" s="232" t="s">
        <v>300</v>
      </c>
      <c r="M149" s="233" t="s">
        <v>304</v>
      </c>
      <c r="N149" s="234">
        <f>1203</f>
        <v>1203</v>
      </c>
      <c r="O149" s="235">
        <v>261.2</v>
      </c>
      <c r="P149" s="235">
        <v>64</v>
      </c>
      <c r="Q149" s="234">
        <v>66</v>
      </c>
      <c r="R149" s="234">
        <v>66</v>
      </c>
      <c r="S149" s="234">
        <v>66</v>
      </c>
    </row>
    <row r="150" spans="1:19" s="236" customFormat="1" ht="346.5">
      <c r="A150" s="143" t="s">
        <v>151</v>
      </c>
      <c r="B150" s="158">
        <v>1510</v>
      </c>
      <c r="C150" s="227" t="s">
        <v>452</v>
      </c>
      <c r="D150" s="227" t="s">
        <v>454</v>
      </c>
      <c r="E150" s="227" t="s">
        <v>453</v>
      </c>
      <c r="F150" s="228" t="s">
        <v>1043</v>
      </c>
      <c r="G150" s="228" t="s">
        <v>456</v>
      </c>
      <c r="H150" s="229" t="s">
        <v>455</v>
      </c>
      <c r="I150" s="230" t="s">
        <v>1025</v>
      </c>
      <c r="J150" s="231" t="s">
        <v>819</v>
      </c>
      <c r="K150" s="228" t="s">
        <v>843</v>
      </c>
      <c r="L150" s="232" t="s">
        <v>300</v>
      </c>
      <c r="M150" s="233" t="s">
        <v>304</v>
      </c>
      <c r="N150" s="235">
        <f>63.9</f>
        <v>63.9</v>
      </c>
      <c r="O150" s="235">
        <v>54.4</v>
      </c>
      <c r="P150" s="235">
        <v>0</v>
      </c>
      <c r="Q150" s="235">
        <v>0</v>
      </c>
      <c r="R150" s="235">
        <v>0</v>
      </c>
      <c r="S150" s="235">
        <v>0</v>
      </c>
    </row>
    <row r="151" spans="1:19" s="236" customFormat="1" ht="346.5">
      <c r="A151" s="143" t="s">
        <v>152</v>
      </c>
      <c r="B151" s="158">
        <v>1510</v>
      </c>
      <c r="C151" s="227" t="s">
        <v>457</v>
      </c>
      <c r="D151" s="227" t="s">
        <v>458</v>
      </c>
      <c r="E151" s="227" t="s">
        <v>411</v>
      </c>
      <c r="F151" s="228" t="s">
        <v>1043</v>
      </c>
      <c r="G151" s="228" t="s">
        <v>456</v>
      </c>
      <c r="H151" s="229" t="s">
        <v>455</v>
      </c>
      <c r="I151" s="230" t="s">
        <v>1025</v>
      </c>
      <c r="J151" s="231" t="s">
        <v>819</v>
      </c>
      <c r="K151" s="228" t="s">
        <v>843</v>
      </c>
      <c r="L151" s="232" t="s">
        <v>300</v>
      </c>
      <c r="M151" s="233" t="s">
        <v>304</v>
      </c>
      <c r="N151" s="235">
        <f>803.3</f>
        <v>803.3</v>
      </c>
      <c r="O151" s="235">
        <v>797.4</v>
      </c>
      <c r="P151" s="235">
        <v>726.8</v>
      </c>
      <c r="Q151" s="234">
        <v>727.9</v>
      </c>
      <c r="R151" s="234">
        <v>727.9</v>
      </c>
      <c r="S151" s="234">
        <v>727.9</v>
      </c>
    </row>
    <row r="152" spans="1:19" ht="346.5">
      <c r="A152" s="225" t="s">
        <v>785</v>
      </c>
      <c r="B152" s="158">
        <v>1521</v>
      </c>
      <c r="C152" s="151"/>
      <c r="D152" s="151"/>
      <c r="E152" s="151"/>
      <c r="F152" s="195"/>
      <c r="G152" s="195"/>
      <c r="H152" s="195"/>
      <c r="I152" s="195"/>
      <c r="J152" s="195"/>
      <c r="K152" s="195"/>
      <c r="L152" s="153"/>
      <c r="M152" s="154"/>
      <c r="N152" s="156">
        <f aca="true" t="shared" si="10" ref="N152:S152">SUM(N153:N159)</f>
        <v>1023899.8999999999</v>
      </c>
      <c r="O152" s="156">
        <f t="shared" si="10"/>
        <v>1017431.1</v>
      </c>
      <c r="P152" s="156">
        <f t="shared" si="10"/>
        <v>1074639.9000000001</v>
      </c>
      <c r="Q152" s="156">
        <f t="shared" si="10"/>
        <v>1115116.2</v>
      </c>
      <c r="R152" s="156">
        <f t="shared" si="10"/>
        <v>1115015.6</v>
      </c>
      <c r="S152" s="156">
        <f t="shared" si="10"/>
        <v>1115015.6</v>
      </c>
    </row>
    <row r="153" spans="1:19" s="236" customFormat="1" ht="252">
      <c r="A153" s="143" t="s">
        <v>155</v>
      </c>
      <c r="B153" s="158">
        <v>1521</v>
      </c>
      <c r="C153" s="237" t="s">
        <v>468</v>
      </c>
      <c r="D153" s="238" t="s">
        <v>470</v>
      </c>
      <c r="E153" s="238" t="s">
        <v>469</v>
      </c>
      <c r="F153" s="239" t="s">
        <v>473</v>
      </c>
      <c r="G153" s="237" t="s">
        <v>471</v>
      </c>
      <c r="H153" s="230" t="s">
        <v>472</v>
      </c>
      <c r="I153" s="230"/>
      <c r="J153" s="230"/>
      <c r="K153" s="230"/>
      <c r="L153" s="232" t="s">
        <v>355</v>
      </c>
      <c r="M153" s="233" t="s">
        <v>356</v>
      </c>
      <c r="N153" s="240">
        <f>557.6</f>
        <v>557.6</v>
      </c>
      <c r="O153" s="235">
        <f>499.2</f>
        <v>499.2</v>
      </c>
      <c r="P153" s="235">
        <f>551.2+51.2</f>
        <v>602.4000000000001</v>
      </c>
      <c r="Q153" s="234">
        <f>602.4</f>
        <v>602.4</v>
      </c>
      <c r="R153" s="234">
        <f>602.4</f>
        <v>602.4</v>
      </c>
      <c r="S153" s="234">
        <f>602.4</f>
        <v>602.4</v>
      </c>
    </row>
    <row r="154" spans="1:19" s="236" customFormat="1" ht="204.75">
      <c r="A154" s="143" t="s">
        <v>156</v>
      </c>
      <c r="B154" s="158">
        <v>1521</v>
      </c>
      <c r="C154" s="237" t="s">
        <v>468</v>
      </c>
      <c r="D154" s="238" t="s">
        <v>486</v>
      </c>
      <c r="E154" s="238" t="s">
        <v>469</v>
      </c>
      <c r="F154" s="241" t="s">
        <v>474</v>
      </c>
      <c r="G154" s="237" t="s">
        <v>475</v>
      </c>
      <c r="H154" s="242" t="s">
        <v>476</v>
      </c>
      <c r="I154" s="242"/>
      <c r="J154" s="242"/>
      <c r="K154" s="242"/>
      <c r="L154" s="232" t="s">
        <v>301</v>
      </c>
      <c r="M154" s="233" t="s">
        <v>303</v>
      </c>
      <c r="N154" s="234">
        <f>310625.1</f>
        <v>310625.1</v>
      </c>
      <c r="O154" s="235">
        <f>304231.2</f>
        <v>304231.2</v>
      </c>
      <c r="P154" s="235">
        <v>342698.9</v>
      </c>
      <c r="Q154" s="235">
        <v>342698.9</v>
      </c>
      <c r="R154" s="235">
        <v>342698.9</v>
      </c>
      <c r="S154" s="235">
        <v>342698.9</v>
      </c>
    </row>
    <row r="155" spans="1:19" s="236" customFormat="1" ht="220.5">
      <c r="A155" s="143" t="s">
        <v>158</v>
      </c>
      <c r="B155" s="158">
        <v>1521</v>
      </c>
      <c r="C155" s="237" t="s">
        <v>468</v>
      </c>
      <c r="D155" s="238" t="s">
        <v>485</v>
      </c>
      <c r="E155" s="238" t="s">
        <v>469</v>
      </c>
      <c r="F155" s="243" t="s">
        <v>482</v>
      </c>
      <c r="G155" s="238" t="s">
        <v>484</v>
      </c>
      <c r="H155" s="238" t="s">
        <v>483</v>
      </c>
      <c r="I155" s="238"/>
      <c r="J155" s="238"/>
      <c r="K155" s="238"/>
      <c r="L155" s="232" t="s">
        <v>301</v>
      </c>
      <c r="M155" s="233" t="s">
        <v>302</v>
      </c>
      <c r="N155" s="234">
        <f>691884.6</f>
        <v>691884.6</v>
      </c>
      <c r="O155" s="235">
        <v>691884.6</v>
      </c>
      <c r="P155" s="235">
        <v>713801.9</v>
      </c>
      <c r="Q155" s="234">
        <v>754128.5</v>
      </c>
      <c r="R155" s="234">
        <v>754237.5</v>
      </c>
      <c r="S155" s="234">
        <v>754237.5</v>
      </c>
    </row>
    <row r="156" spans="1:19" s="236" customFormat="1" ht="299.25">
      <c r="A156" s="143" t="s">
        <v>160</v>
      </c>
      <c r="B156" s="158">
        <v>1521</v>
      </c>
      <c r="C156" s="237" t="s">
        <v>481</v>
      </c>
      <c r="D156" s="238" t="s">
        <v>467</v>
      </c>
      <c r="E156" s="238" t="s">
        <v>487</v>
      </c>
      <c r="F156" s="241" t="s">
        <v>1026</v>
      </c>
      <c r="G156" s="237" t="s">
        <v>489</v>
      </c>
      <c r="H156" s="241" t="s">
        <v>488</v>
      </c>
      <c r="I156" s="241"/>
      <c r="J156" s="241"/>
      <c r="K156" s="241"/>
      <c r="L156" s="232" t="s">
        <v>301</v>
      </c>
      <c r="M156" s="233" t="s">
        <v>302</v>
      </c>
      <c r="N156" s="234">
        <f>17213.9</f>
        <v>17213.9</v>
      </c>
      <c r="O156" s="235">
        <v>17197.4</v>
      </c>
      <c r="P156" s="235">
        <v>17536.7</v>
      </c>
      <c r="Q156" s="234">
        <v>17686.4</v>
      </c>
      <c r="R156" s="234">
        <v>17476.8</v>
      </c>
      <c r="S156" s="234">
        <v>17476.8</v>
      </c>
    </row>
    <row r="157" spans="1:19" s="236" customFormat="1" ht="157.5">
      <c r="A157" s="143" t="s">
        <v>335</v>
      </c>
      <c r="B157" s="158">
        <v>1521</v>
      </c>
      <c r="C157" s="237" t="s">
        <v>481</v>
      </c>
      <c r="D157" s="238" t="s">
        <v>480</v>
      </c>
      <c r="E157" s="238" t="s">
        <v>411</v>
      </c>
      <c r="F157" s="244" t="s">
        <v>712</v>
      </c>
      <c r="G157" s="244" t="s">
        <v>713</v>
      </c>
      <c r="H157" s="244" t="s">
        <v>717</v>
      </c>
      <c r="I157" s="244"/>
      <c r="J157" s="244"/>
      <c r="K157" s="244"/>
      <c r="L157" s="232" t="s">
        <v>301</v>
      </c>
      <c r="M157" s="233" t="s">
        <v>303</v>
      </c>
      <c r="N157" s="235">
        <f>961.7</f>
        <v>961.7</v>
      </c>
      <c r="O157" s="235">
        <v>961.7</v>
      </c>
      <c r="P157" s="235">
        <v>0</v>
      </c>
      <c r="Q157" s="235">
        <v>0</v>
      </c>
      <c r="R157" s="235">
        <v>0</v>
      </c>
      <c r="S157" s="235">
        <v>0</v>
      </c>
    </row>
    <row r="158" spans="1:19" s="236" customFormat="1" ht="157.5">
      <c r="A158" s="143" t="s">
        <v>336</v>
      </c>
      <c r="B158" s="158">
        <v>1521</v>
      </c>
      <c r="C158" s="237" t="s">
        <v>481</v>
      </c>
      <c r="D158" s="238" t="s">
        <v>480</v>
      </c>
      <c r="E158" s="238" t="s">
        <v>411</v>
      </c>
      <c r="F158" s="244" t="s">
        <v>712</v>
      </c>
      <c r="G158" s="244" t="s">
        <v>713</v>
      </c>
      <c r="H158" s="244" t="s">
        <v>717</v>
      </c>
      <c r="I158" s="244"/>
      <c r="J158" s="244"/>
      <c r="K158" s="244"/>
      <c r="L158" s="232" t="s">
        <v>301</v>
      </c>
      <c r="M158" s="233" t="s">
        <v>303</v>
      </c>
      <c r="N158" s="235">
        <v>300</v>
      </c>
      <c r="O158" s="235">
        <v>300</v>
      </c>
      <c r="P158" s="235">
        <v>0</v>
      </c>
      <c r="Q158" s="235">
        <v>0</v>
      </c>
      <c r="R158" s="235">
        <v>0</v>
      </c>
      <c r="S158" s="235">
        <v>0</v>
      </c>
    </row>
    <row r="159" spans="1:19" s="236" customFormat="1" ht="126">
      <c r="A159" s="143" t="s">
        <v>337</v>
      </c>
      <c r="B159" s="158">
        <v>1521</v>
      </c>
      <c r="C159" s="237" t="s">
        <v>481</v>
      </c>
      <c r="D159" s="238" t="s">
        <v>480</v>
      </c>
      <c r="E159" s="238" t="s">
        <v>411</v>
      </c>
      <c r="F159" s="244" t="s">
        <v>714</v>
      </c>
      <c r="G159" s="244" t="s">
        <v>605</v>
      </c>
      <c r="H159" s="244" t="s">
        <v>719</v>
      </c>
      <c r="I159" s="244"/>
      <c r="J159" s="244"/>
      <c r="K159" s="244"/>
      <c r="L159" s="232" t="s">
        <v>301</v>
      </c>
      <c r="M159" s="233" t="s">
        <v>302</v>
      </c>
      <c r="N159" s="234">
        <f>2357</f>
        <v>2357</v>
      </c>
      <c r="O159" s="235">
        <v>2357</v>
      </c>
      <c r="P159" s="235">
        <v>0</v>
      </c>
      <c r="Q159" s="235">
        <v>0</v>
      </c>
      <c r="R159" s="235">
        <v>0</v>
      </c>
      <c r="S159" s="235">
        <v>0</v>
      </c>
    </row>
    <row r="160" spans="1:19" ht="409.5">
      <c r="A160" s="225" t="s">
        <v>786</v>
      </c>
      <c r="B160" s="158">
        <v>1539</v>
      </c>
      <c r="C160" s="223"/>
      <c r="D160" s="223"/>
      <c r="E160" s="223"/>
      <c r="F160" s="223"/>
      <c r="G160" s="224"/>
      <c r="H160" s="224"/>
      <c r="I160" s="224"/>
      <c r="J160" s="224"/>
      <c r="K160" s="224"/>
      <c r="L160" s="153"/>
      <c r="M160" s="154"/>
      <c r="N160" s="156">
        <f aca="true" t="shared" si="11" ref="N160:S160">SUM(N161:N163)</f>
        <v>37911</v>
      </c>
      <c r="O160" s="156">
        <f t="shared" si="11"/>
        <v>37668</v>
      </c>
      <c r="P160" s="156">
        <f t="shared" si="11"/>
        <v>33980.8</v>
      </c>
      <c r="Q160" s="156">
        <f t="shared" si="11"/>
        <v>36406.1</v>
      </c>
      <c r="R160" s="156">
        <f t="shared" si="11"/>
        <v>37818.2</v>
      </c>
      <c r="S160" s="156">
        <f t="shared" si="11"/>
        <v>37818.2</v>
      </c>
    </row>
    <row r="161" spans="1:19" s="236" customFormat="1" ht="204.75">
      <c r="A161" s="143" t="s">
        <v>169</v>
      </c>
      <c r="B161" s="158">
        <v>1539</v>
      </c>
      <c r="C161" s="237" t="s">
        <v>502</v>
      </c>
      <c r="D161" s="238" t="s">
        <v>508</v>
      </c>
      <c r="E161" s="238" t="s">
        <v>503</v>
      </c>
      <c r="F161" s="241" t="s">
        <v>972</v>
      </c>
      <c r="G161" s="237" t="s">
        <v>505</v>
      </c>
      <c r="H161" s="241" t="s">
        <v>506</v>
      </c>
      <c r="I161" s="241"/>
      <c r="J161" s="241"/>
      <c r="K161" s="241"/>
      <c r="L161" s="232" t="s">
        <v>301</v>
      </c>
      <c r="M161" s="233" t="s">
        <v>302</v>
      </c>
      <c r="N161" s="234">
        <f>12517.6</f>
        <v>12517.6</v>
      </c>
      <c r="O161" s="235">
        <v>12434</v>
      </c>
      <c r="P161" s="235">
        <f>12659</f>
        <v>12659</v>
      </c>
      <c r="Q161" s="234">
        <v>13419.6</v>
      </c>
      <c r="R161" s="234">
        <v>13960.6</v>
      </c>
      <c r="S161" s="234">
        <v>13960.6</v>
      </c>
    </row>
    <row r="162" spans="1:19" s="236" customFormat="1" ht="220.5">
      <c r="A162" s="143" t="s">
        <v>170</v>
      </c>
      <c r="B162" s="158">
        <v>1539</v>
      </c>
      <c r="C162" s="237" t="s">
        <v>502</v>
      </c>
      <c r="D162" s="238" t="s">
        <v>508</v>
      </c>
      <c r="E162" s="238" t="s">
        <v>503</v>
      </c>
      <c r="F162" s="241" t="s">
        <v>504</v>
      </c>
      <c r="G162" s="237" t="s">
        <v>505</v>
      </c>
      <c r="H162" s="241" t="s">
        <v>506</v>
      </c>
      <c r="I162" s="245"/>
      <c r="J162" s="245"/>
      <c r="K162" s="245"/>
      <c r="L162" s="232" t="s">
        <v>301</v>
      </c>
      <c r="M162" s="233" t="s">
        <v>302</v>
      </c>
      <c r="N162" s="234">
        <f>21368.4</f>
        <v>21368.4</v>
      </c>
      <c r="O162" s="235">
        <v>21209</v>
      </c>
      <c r="P162" s="235">
        <v>21321.8</v>
      </c>
      <c r="Q162" s="234">
        <v>22986.5</v>
      </c>
      <c r="R162" s="234">
        <v>23857.6</v>
      </c>
      <c r="S162" s="234">
        <v>23857.6</v>
      </c>
    </row>
    <row r="163" spans="1:19" s="236" customFormat="1" ht="220.5">
      <c r="A163" s="143" t="s">
        <v>325</v>
      </c>
      <c r="B163" s="158">
        <v>1539</v>
      </c>
      <c r="C163" s="237" t="s">
        <v>516</v>
      </c>
      <c r="D163" s="238" t="s">
        <v>480</v>
      </c>
      <c r="E163" s="238" t="s">
        <v>487</v>
      </c>
      <c r="F163" s="237" t="s">
        <v>517</v>
      </c>
      <c r="G163" s="238" t="s">
        <v>519</v>
      </c>
      <c r="H163" s="246" t="s">
        <v>518</v>
      </c>
      <c r="I163" s="247" t="s">
        <v>1027</v>
      </c>
      <c r="J163" s="248" t="s">
        <v>872</v>
      </c>
      <c r="K163" s="248" t="s">
        <v>873</v>
      </c>
      <c r="L163" s="232" t="s">
        <v>300</v>
      </c>
      <c r="M163" s="233" t="s">
        <v>299</v>
      </c>
      <c r="N163" s="234">
        <f>4025</f>
        <v>4025</v>
      </c>
      <c r="O163" s="235">
        <v>4025</v>
      </c>
      <c r="P163" s="235">
        <v>0</v>
      </c>
      <c r="Q163" s="234">
        <v>0</v>
      </c>
      <c r="R163" s="234">
        <v>0</v>
      </c>
      <c r="S163" s="234">
        <v>0</v>
      </c>
    </row>
    <row r="164" spans="1:19" ht="204.75">
      <c r="A164" s="225" t="s">
        <v>787</v>
      </c>
      <c r="B164" s="158"/>
      <c r="C164" s="168"/>
      <c r="D164" s="168"/>
      <c r="E164" s="168"/>
      <c r="F164" s="168"/>
      <c r="G164" s="168"/>
      <c r="H164" s="168"/>
      <c r="I164" s="249"/>
      <c r="J164" s="249"/>
      <c r="K164" s="249"/>
      <c r="L164" s="153"/>
      <c r="M164" s="154"/>
      <c r="N164" s="156">
        <f aca="true" t="shared" si="12" ref="N164:S164">SUM(N165:N166)</f>
        <v>4257.6</v>
      </c>
      <c r="O164" s="156">
        <f t="shared" si="12"/>
        <v>4109.900000000001</v>
      </c>
      <c r="P164" s="156">
        <f t="shared" si="12"/>
        <v>4242.2</v>
      </c>
      <c r="Q164" s="156">
        <f t="shared" si="12"/>
        <v>4257.8</v>
      </c>
      <c r="R164" s="156">
        <f t="shared" si="12"/>
        <v>4257.8</v>
      </c>
      <c r="S164" s="156">
        <f t="shared" si="12"/>
        <v>4257.8</v>
      </c>
    </row>
    <row r="165" spans="1:19" s="236" customFormat="1" ht="283.5">
      <c r="A165" s="143" t="s">
        <v>149</v>
      </c>
      <c r="B165" s="158">
        <v>1540</v>
      </c>
      <c r="C165" s="227" t="s">
        <v>436</v>
      </c>
      <c r="D165" s="227" t="s">
        <v>437</v>
      </c>
      <c r="E165" s="227" t="s">
        <v>358</v>
      </c>
      <c r="F165" s="250" t="s">
        <v>449</v>
      </c>
      <c r="G165" s="251" t="s">
        <v>451</v>
      </c>
      <c r="H165" s="251" t="s">
        <v>450</v>
      </c>
      <c r="I165" s="252" t="s">
        <v>1028</v>
      </c>
      <c r="J165" s="252"/>
      <c r="K165" s="252" t="s">
        <v>894</v>
      </c>
      <c r="L165" s="232" t="s">
        <v>303</v>
      </c>
      <c r="M165" s="233" t="s">
        <v>300</v>
      </c>
      <c r="N165" s="235">
        <f>21</f>
        <v>21</v>
      </c>
      <c r="O165" s="235">
        <v>6.3</v>
      </c>
      <c r="P165" s="235">
        <v>21.2</v>
      </c>
      <c r="Q165" s="234">
        <v>21.2</v>
      </c>
      <c r="R165" s="234">
        <v>21.2</v>
      </c>
      <c r="S165" s="234">
        <v>21.2</v>
      </c>
    </row>
    <row r="166" spans="1:19" s="236" customFormat="1" ht="362.25">
      <c r="A166" s="143" t="s">
        <v>172</v>
      </c>
      <c r="B166" s="158">
        <v>1540</v>
      </c>
      <c r="C166" s="237" t="s">
        <v>512</v>
      </c>
      <c r="D166" s="238" t="s">
        <v>513</v>
      </c>
      <c r="E166" s="238" t="s">
        <v>514</v>
      </c>
      <c r="F166" s="250" t="s">
        <v>971</v>
      </c>
      <c r="G166" s="251" t="s">
        <v>515</v>
      </c>
      <c r="H166" s="251" t="s">
        <v>1029</v>
      </c>
      <c r="I166" s="252" t="s">
        <v>897</v>
      </c>
      <c r="J166" s="251"/>
      <c r="K166" s="251"/>
      <c r="L166" s="232" t="s">
        <v>303</v>
      </c>
      <c r="M166" s="233" t="s">
        <v>300</v>
      </c>
      <c r="N166" s="234">
        <f>4236.6</f>
        <v>4236.6</v>
      </c>
      <c r="O166" s="235">
        <v>4103.6</v>
      </c>
      <c r="P166" s="235">
        <v>4221</v>
      </c>
      <c r="Q166" s="234">
        <v>4236.6</v>
      </c>
      <c r="R166" s="234">
        <v>4236.6</v>
      </c>
      <c r="S166" s="234">
        <v>4236.6</v>
      </c>
    </row>
    <row r="167" spans="1:19" ht="189">
      <c r="A167" s="148" t="s">
        <v>788</v>
      </c>
      <c r="B167" s="158">
        <v>1543</v>
      </c>
      <c r="C167" s="202" t="s">
        <v>481</v>
      </c>
      <c r="D167" s="253" t="s">
        <v>480</v>
      </c>
      <c r="E167" s="253" t="s">
        <v>411</v>
      </c>
      <c r="F167" s="203" t="s">
        <v>490</v>
      </c>
      <c r="G167" s="202" t="s">
        <v>491</v>
      </c>
      <c r="H167" s="204" t="s">
        <v>492</v>
      </c>
      <c r="I167" s="204"/>
      <c r="J167" s="204"/>
      <c r="K167" s="204"/>
      <c r="L167" s="153" t="s">
        <v>321</v>
      </c>
      <c r="M167" s="154" t="s">
        <v>322</v>
      </c>
      <c r="N167" s="155">
        <f>15465.1+201.5</f>
        <v>15666.6</v>
      </c>
      <c r="O167" s="156">
        <f>15446.9+201.5</f>
        <v>15648.4</v>
      </c>
      <c r="P167" s="156">
        <f>16345.5+213.7</f>
        <v>16559.2</v>
      </c>
      <c r="Q167" s="157">
        <f>16345.5+213.7</f>
        <v>16559.2</v>
      </c>
      <c r="R167" s="157">
        <f>16345.5+213.7</f>
        <v>16559.2</v>
      </c>
      <c r="S167" s="157">
        <f>16345.5+213.7</f>
        <v>16559.2</v>
      </c>
    </row>
    <row r="168" spans="1:19" ht="173.25">
      <c r="A168" s="148" t="s">
        <v>789</v>
      </c>
      <c r="B168" s="158">
        <v>1568</v>
      </c>
      <c r="C168" s="151" t="s">
        <v>461</v>
      </c>
      <c r="D168" s="151" t="s">
        <v>454</v>
      </c>
      <c r="E168" s="151" t="s">
        <v>462</v>
      </c>
      <c r="F168" s="166" t="s">
        <v>1030</v>
      </c>
      <c r="G168" s="166" t="s">
        <v>463</v>
      </c>
      <c r="H168" s="166" t="s">
        <v>464</v>
      </c>
      <c r="I168" s="150" t="s">
        <v>869</v>
      </c>
      <c r="J168" s="150" t="s">
        <v>870</v>
      </c>
      <c r="K168" s="150" t="s">
        <v>871</v>
      </c>
      <c r="L168" s="153" t="s">
        <v>304</v>
      </c>
      <c r="M168" s="154" t="s">
        <v>304</v>
      </c>
      <c r="N168" s="156">
        <f>28.4</f>
        <v>28.4</v>
      </c>
      <c r="O168" s="156">
        <v>28.4</v>
      </c>
      <c r="P168" s="156">
        <v>28.6</v>
      </c>
      <c r="Q168" s="156">
        <v>28.6</v>
      </c>
      <c r="R168" s="156">
        <v>28.6</v>
      </c>
      <c r="S168" s="156">
        <v>28.6</v>
      </c>
    </row>
    <row r="169" spans="1:19" ht="409.5">
      <c r="A169" s="148" t="s">
        <v>790</v>
      </c>
      <c r="B169" s="158">
        <v>1591</v>
      </c>
      <c r="C169" s="151" t="s">
        <v>973</v>
      </c>
      <c r="D169" s="151" t="s">
        <v>460</v>
      </c>
      <c r="E169" s="151" t="s">
        <v>459</v>
      </c>
      <c r="F169" s="202"/>
      <c r="G169" s="216"/>
      <c r="H169" s="216"/>
      <c r="I169" s="216"/>
      <c r="J169" s="216"/>
      <c r="K169" s="216"/>
      <c r="L169" s="153" t="s">
        <v>300</v>
      </c>
      <c r="M169" s="154" t="s">
        <v>304</v>
      </c>
      <c r="N169" s="156">
        <v>0</v>
      </c>
      <c r="O169" s="156">
        <v>0</v>
      </c>
      <c r="P169" s="156">
        <v>3511.8</v>
      </c>
      <c r="Q169" s="157">
        <v>0</v>
      </c>
      <c r="R169" s="157">
        <v>0</v>
      </c>
      <c r="S169" s="157">
        <v>0</v>
      </c>
    </row>
    <row r="170" spans="1:19" ht="63">
      <c r="A170" s="148" t="s">
        <v>791</v>
      </c>
      <c r="B170" s="158">
        <v>1592</v>
      </c>
      <c r="C170" s="151" t="s">
        <v>436</v>
      </c>
      <c r="D170" s="151" t="s">
        <v>437</v>
      </c>
      <c r="E170" s="151" t="s">
        <v>358</v>
      </c>
      <c r="F170" s="202"/>
      <c r="G170" s="216"/>
      <c r="H170" s="216"/>
      <c r="I170" s="216"/>
      <c r="J170" s="216"/>
      <c r="K170" s="216"/>
      <c r="L170" s="153" t="s">
        <v>303</v>
      </c>
      <c r="M170" s="154" t="s">
        <v>305</v>
      </c>
      <c r="N170" s="156">
        <v>0</v>
      </c>
      <c r="O170" s="156">
        <v>0</v>
      </c>
      <c r="P170" s="156">
        <v>2265.9</v>
      </c>
      <c r="Q170" s="157">
        <v>2271.3</v>
      </c>
      <c r="R170" s="157">
        <v>2271.3</v>
      </c>
      <c r="S170" s="157">
        <v>2271.3</v>
      </c>
    </row>
    <row r="171" spans="1:19" ht="94.5">
      <c r="A171" s="148" t="s">
        <v>792</v>
      </c>
      <c r="B171" s="158">
        <v>1593</v>
      </c>
      <c r="C171" s="223"/>
      <c r="D171" s="223"/>
      <c r="E171" s="223"/>
      <c r="F171" s="223"/>
      <c r="G171" s="224"/>
      <c r="H171" s="224"/>
      <c r="I171" s="224"/>
      <c r="J171" s="224"/>
      <c r="K171" s="224"/>
      <c r="L171" s="153"/>
      <c r="M171" s="154"/>
      <c r="N171" s="156">
        <f aca="true" t="shared" si="13" ref="N171:S171">SUM(N172:N173)</f>
        <v>21.9</v>
      </c>
      <c r="O171" s="156">
        <f t="shared" si="13"/>
        <v>21.7</v>
      </c>
      <c r="P171" s="156">
        <f t="shared" si="13"/>
        <v>22.2</v>
      </c>
      <c r="Q171" s="156">
        <f t="shared" si="13"/>
        <v>22.4</v>
      </c>
      <c r="R171" s="156">
        <f t="shared" si="13"/>
        <v>22.4</v>
      </c>
      <c r="S171" s="156">
        <f t="shared" si="13"/>
        <v>22.4</v>
      </c>
    </row>
    <row r="172" spans="1:19" s="236" customFormat="1" ht="78.75">
      <c r="A172" s="143" t="s">
        <v>142</v>
      </c>
      <c r="B172" s="158">
        <v>1593</v>
      </c>
      <c r="C172" s="227" t="s">
        <v>436</v>
      </c>
      <c r="D172" s="227" t="s">
        <v>437</v>
      </c>
      <c r="E172" s="227" t="s">
        <v>358</v>
      </c>
      <c r="F172" s="227" t="s">
        <v>438</v>
      </c>
      <c r="G172" s="227" t="s">
        <v>439</v>
      </c>
      <c r="H172" s="227" t="s">
        <v>440</v>
      </c>
      <c r="I172" s="227"/>
      <c r="J172" s="227"/>
      <c r="K172" s="227"/>
      <c r="L172" s="232" t="s">
        <v>303</v>
      </c>
      <c r="M172" s="233" t="s">
        <v>306</v>
      </c>
      <c r="N172" s="235">
        <v>17</v>
      </c>
      <c r="O172" s="235">
        <f>16.9</f>
        <v>16.9</v>
      </c>
      <c r="P172" s="235">
        <v>16.9</v>
      </c>
      <c r="Q172" s="234">
        <v>17</v>
      </c>
      <c r="R172" s="234">
        <v>17</v>
      </c>
      <c r="S172" s="234">
        <v>17</v>
      </c>
    </row>
    <row r="173" spans="1:19" s="236" customFormat="1" ht="346.5">
      <c r="A173" s="143" t="s">
        <v>143</v>
      </c>
      <c r="B173" s="158">
        <v>1593</v>
      </c>
      <c r="C173" s="250" t="s">
        <v>1031</v>
      </c>
      <c r="D173" s="250" t="s">
        <v>445</v>
      </c>
      <c r="E173" s="250" t="s">
        <v>446</v>
      </c>
      <c r="F173" s="250" t="s">
        <v>442</v>
      </c>
      <c r="G173" s="251" t="s">
        <v>443</v>
      </c>
      <c r="H173" s="251" t="s">
        <v>444</v>
      </c>
      <c r="I173" s="254" t="s">
        <v>895</v>
      </c>
      <c r="J173" s="254"/>
      <c r="K173" s="254" t="s">
        <v>896</v>
      </c>
      <c r="L173" s="232" t="s">
        <v>303</v>
      </c>
      <c r="M173" s="233" t="s">
        <v>300</v>
      </c>
      <c r="N173" s="235">
        <v>4.9</v>
      </c>
      <c r="O173" s="235">
        <v>4.8</v>
      </c>
      <c r="P173" s="235">
        <v>5.3</v>
      </c>
      <c r="Q173" s="234">
        <v>5.4</v>
      </c>
      <c r="R173" s="234">
        <v>5.4</v>
      </c>
      <c r="S173" s="234">
        <v>5.4</v>
      </c>
    </row>
    <row r="174" spans="1:19" ht="236.25">
      <c r="A174" s="225" t="s">
        <v>793</v>
      </c>
      <c r="B174" s="158">
        <v>1594</v>
      </c>
      <c r="C174" s="223"/>
      <c r="D174" s="223"/>
      <c r="E174" s="223"/>
      <c r="F174" s="223"/>
      <c r="G174" s="224"/>
      <c r="H174" s="224"/>
      <c r="I174" s="224"/>
      <c r="J174" s="224"/>
      <c r="K174" s="224"/>
      <c r="L174" s="153"/>
      <c r="M174" s="154"/>
      <c r="N174" s="156">
        <f aca="true" t="shared" si="14" ref="N174:S174">SUM(N175:N176)</f>
        <v>10975.9</v>
      </c>
      <c r="O174" s="156">
        <f t="shared" si="14"/>
        <v>10363.9</v>
      </c>
      <c r="P174" s="156">
        <f t="shared" si="14"/>
        <v>2570.1</v>
      </c>
      <c r="Q174" s="156">
        <f t="shared" si="14"/>
        <v>0</v>
      </c>
      <c r="R174" s="156">
        <f t="shared" si="14"/>
        <v>0</v>
      </c>
      <c r="S174" s="156">
        <f t="shared" si="14"/>
        <v>0</v>
      </c>
    </row>
    <row r="175" spans="1:19" s="236" customFormat="1" ht="189">
      <c r="A175" s="143" t="s">
        <v>167</v>
      </c>
      <c r="B175" s="158">
        <v>1594</v>
      </c>
      <c r="C175" s="237" t="s">
        <v>520</v>
      </c>
      <c r="D175" s="238" t="s">
        <v>521</v>
      </c>
      <c r="E175" s="238" t="s">
        <v>522</v>
      </c>
      <c r="F175" s="237"/>
      <c r="G175" s="255"/>
      <c r="H175" s="255"/>
      <c r="I175" s="255"/>
      <c r="J175" s="255"/>
      <c r="K175" s="255"/>
      <c r="L175" s="232" t="s">
        <v>297</v>
      </c>
      <c r="M175" s="233" t="s">
        <v>298</v>
      </c>
      <c r="N175" s="234">
        <f>9752</f>
        <v>9752</v>
      </c>
      <c r="O175" s="235">
        <v>9752</v>
      </c>
      <c r="P175" s="235">
        <f>1285.1</f>
        <v>1285.1</v>
      </c>
      <c r="Q175" s="234">
        <v>0</v>
      </c>
      <c r="R175" s="234">
        <v>0</v>
      </c>
      <c r="S175" s="234">
        <v>0</v>
      </c>
    </row>
    <row r="176" spans="1:19" s="236" customFormat="1" ht="189">
      <c r="A176" s="143" t="s">
        <v>168</v>
      </c>
      <c r="B176" s="158">
        <v>1594</v>
      </c>
      <c r="C176" s="237" t="s">
        <v>523</v>
      </c>
      <c r="D176" s="238" t="s">
        <v>524</v>
      </c>
      <c r="E176" s="238" t="s">
        <v>525</v>
      </c>
      <c r="F176" s="237"/>
      <c r="G176" s="255"/>
      <c r="H176" s="255"/>
      <c r="I176" s="255"/>
      <c r="J176" s="255"/>
      <c r="K176" s="255"/>
      <c r="L176" s="232" t="s">
        <v>297</v>
      </c>
      <c r="M176" s="233" t="s">
        <v>298</v>
      </c>
      <c r="N176" s="234">
        <f>1223.9</f>
        <v>1223.9</v>
      </c>
      <c r="O176" s="235">
        <v>611.9</v>
      </c>
      <c r="P176" s="235">
        <f>1285</f>
        <v>1285</v>
      </c>
      <c r="Q176" s="234">
        <v>0</v>
      </c>
      <c r="R176" s="234">
        <v>0</v>
      </c>
      <c r="S176" s="234">
        <v>0</v>
      </c>
    </row>
    <row r="177" spans="1:19" ht="141.75">
      <c r="A177" s="148" t="s">
        <v>794</v>
      </c>
      <c r="B177" s="158">
        <v>1595</v>
      </c>
      <c r="C177" s="202" t="s">
        <v>502</v>
      </c>
      <c r="D177" s="253" t="s">
        <v>507</v>
      </c>
      <c r="E177" s="253" t="s">
        <v>503</v>
      </c>
      <c r="F177" s="203" t="s">
        <v>511</v>
      </c>
      <c r="G177" s="203" t="s">
        <v>509</v>
      </c>
      <c r="H177" s="203" t="s">
        <v>510</v>
      </c>
      <c r="I177" s="203"/>
      <c r="J177" s="203"/>
      <c r="K177" s="203"/>
      <c r="L177" s="153" t="s">
        <v>346</v>
      </c>
      <c r="M177" s="154" t="s">
        <v>347</v>
      </c>
      <c r="N177" s="155">
        <f>724.9+17807.4</f>
        <v>18532.300000000003</v>
      </c>
      <c r="O177" s="156">
        <f>16769.1+696.3</f>
        <v>17465.399999999998</v>
      </c>
      <c r="P177" s="156">
        <f>806.2+27164.1</f>
        <v>27970.3</v>
      </c>
      <c r="Q177" s="157">
        <f>821.1+29022.9</f>
        <v>29844</v>
      </c>
      <c r="R177" s="157">
        <f>821.1+29671.9</f>
        <v>30493</v>
      </c>
      <c r="S177" s="157">
        <f>821.1+29671.9</f>
        <v>30493</v>
      </c>
    </row>
    <row r="178" spans="1:19" ht="63">
      <c r="A178" s="148" t="s">
        <v>795</v>
      </c>
      <c r="B178" s="158">
        <v>1597</v>
      </c>
      <c r="C178" s="202"/>
      <c r="D178" s="253"/>
      <c r="E178" s="253"/>
      <c r="F178" s="203"/>
      <c r="G178" s="203"/>
      <c r="H178" s="203"/>
      <c r="I178" s="203"/>
      <c r="J178" s="203"/>
      <c r="K178" s="203"/>
      <c r="L178" s="153"/>
      <c r="M178" s="154"/>
      <c r="N178" s="155">
        <f aca="true" t="shared" si="15" ref="N178:S178">SUM(N179:N184)</f>
        <v>66487.3</v>
      </c>
      <c r="O178" s="155">
        <f t="shared" si="15"/>
        <v>62417.3</v>
      </c>
      <c r="P178" s="155">
        <f t="shared" si="15"/>
        <v>67319</v>
      </c>
      <c r="Q178" s="155">
        <f t="shared" si="15"/>
        <v>67319</v>
      </c>
      <c r="R178" s="155">
        <f t="shared" si="15"/>
        <v>67319</v>
      </c>
      <c r="S178" s="155">
        <f t="shared" si="15"/>
        <v>67319</v>
      </c>
    </row>
    <row r="179" spans="1:19" s="236" customFormat="1" ht="252">
      <c r="A179" s="143" t="s">
        <v>157</v>
      </c>
      <c r="B179" s="158">
        <v>1597</v>
      </c>
      <c r="C179" s="237" t="s">
        <v>481</v>
      </c>
      <c r="D179" s="255" t="s">
        <v>480</v>
      </c>
      <c r="E179" s="255" t="s">
        <v>411</v>
      </c>
      <c r="F179" s="241" t="s">
        <v>477</v>
      </c>
      <c r="G179" s="237" t="s">
        <v>478</v>
      </c>
      <c r="H179" s="241" t="s">
        <v>479</v>
      </c>
      <c r="I179" s="241"/>
      <c r="J179" s="241"/>
      <c r="K179" s="241"/>
      <c r="L179" s="232" t="s">
        <v>301</v>
      </c>
      <c r="M179" s="233" t="s">
        <v>303</v>
      </c>
      <c r="N179" s="234">
        <f>1916.3</f>
        <v>1916.3</v>
      </c>
      <c r="O179" s="235">
        <v>1689.9</v>
      </c>
      <c r="P179" s="235">
        <v>2102.6</v>
      </c>
      <c r="Q179" s="234">
        <v>2230.8</v>
      </c>
      <c r="R179" s="234">
        <v>2230.8</v>
      </c>
      <c r="S179" s="234">
        <v>2230.8</v>
      </c>
    </row>
    <row r="180" spans="1:19" s="236" customFormat="1" ht="252">
      <c r="A180" s="143" t="s">
        <v>157</v>
      </c>
      <c r="B180" s="158">
        <v>1597</v>
      </c>
      <c r="C180" s="237" t="s">
        <v>481</v>
      </c>
      <c r="D180" s="238" t="s">
        <v>480</v>
      </c>
      <c r="E180" s="238" t="s">
        <v>411</v>
      </c>
      <c r="F180" s="241" t="s">
        <v>477</v>
      </c>
      <c r="G180" s="237" t="s">
        <v>478</v>
      </c>
      <c r="H180" s="241" t="s">
        <v>479</v>
      </c>
      <c r="I180" s="241"/>
      <c r="J180" s="241"/>
      <c r="K180" s="241"/>
      <c r="L180" s="232" t="s">
        <v>301</v>
      </c>
      <c r="M180" s="233" t="s">
        <v>302</v>
      </c>
      <c r="N180" s="234">
        <f>17487.9</f>
        <v>17487.9</v>
      </c>
      <c r="O180" s="235">
        <v>16908.8</v>
      </c>
      <c r="P180" s="235">
        <v>17015.5</v>
      </c>
      <c r="Q180" s="234">
        <v>17097.3</v>
      </c>
      <c r="R180" s="234">
        <v>17097.3</v>
      </c>
      <c r="S180" s="234">
        <v>17097.3</v>
      </c>
    </row>
    <row r="181" spans="1:19" s="236" customFormat="1" ht="252">
      <c r="A181" s="143" t="s">
        <v>157</v>
      </c>
      <c r="B181" s="158">
        <v>1597</v>
      </c>
      <c r="C181" s="237" t="s">
        <v>481</v>
      </c>
      <c r="D181" s="238" t="s">
        <v>480</v>
      </c>
      <c r="E181" s="238" t="s">
        <v>411</v>
      </c>
      <c r="F181" s="241" t="s">
        <v>477</v>
      </c>
      <c r="G181" s="237" t="s">
        <v>478</v>
      </c>
      <c r="H181" s="241" t="s">
        <v>479</v>
      </c>
      <c r="I181" s="241"/>
      <c r="J181" s="241"/>
      <c r="K181" s="241"/>
      <c r="L181" s="232" t="s">
        <v>297</v>
      </c>
      <c r="M181" s="233" t="s">
        <v>298</v>
      </c>
      <c r="N181" s="234">
        <f>1125</f>
        <v>1125</v>
      </c>
      <c r="O181" s="235">
        <v>1125</v>
      </c>
      <c r="P181" s="235">
        <f>1312.5</f>
        <v>1312.5</v>
      </c>
      <c r="Q181" s="234">
        <v>1102.5</v>
      </c>
      <c r="R181" s="234">
        <v>1102.5</v>
      </c>
      <c r="S181" s="234">
        <v>1102.5</v>
      </c>
    </row>
    <row r="182" spans="1:19" s="236" customFormat="1" ht="220.5">
      <c r="A182" s="143" t="s">
        <v>163</v>
      </c>
      <c r="B182" s="158">
        <v>1597</v>
      </c>
      <c r="C182" s="237" t="s">
        <v>481</v>
      </c>
      <c r="D182" s="238" t="s">
        <v>480</v>
      </c>
      <c r="E182" s="238" t="s">
        <v>411</v>
      </c>
      <c r="F182" s="241" t="s">
        <v>1032</v>
      </c>
      <c r="G182" s="237" t="s">
        <v>498</v>
      </c>
      <c r="H182" s="256" t="s">
        <v>499</v>
      </c>
      <c r="I182" s="256"/>
      <c r="J182" s="256"/>
      <c r="K182" s="256"/>
      <c r="L182" s="232" t="s">
        <v>315</v>
      </c>
      <c r="M182" s="233" t="s">
        <v>316</v>
      </c>
      <c r="N182" s="240">
        <f>10.8+717.7</f>
        <v>728.5</v>
      </c>
      <c r="O182" s="235">
        <f>10.2+677.8</f>
        <v>688</v>
      </c>
      <c r="P182" s="235">
        <f>720+10.8</f>
        <v>730.8</v>
      </c>
      <c r="Q182" s="234">
        <f>10.8+720</f>
        <v>730.8</v>
      </c>
      <c r="R182" s="234">
        <f>10.8+720</f>
        <v>730.8</v>
      </c>
      <c r="S182" s="234">
        <f>10.8+720</f>
        <v>730.8</v>
      </c>
    </row>
    <row r="183" spans="1:19" s="236" customFormat="1" ht="393.75">
      <c r="A183" s="143" t="s">
        <v>164</v>
      </c>
      <c r="B183" s="158">
        <v>1597</v>
      </c>
      <c r="C183" s="237" t="s">
        <v>481</v>
      </c>
      <c r="D183" s="238" t="s">
        <v>480</v>
      </c>
      <c r="E183" s="238" t="s">
        <v>411</v>
      </c>
      <c r="F183" s="241" t="s">
        <v>1033</v>
      </c>
      <c r="G183" s="237" t="s">
        <v>500</v>
      </c>
      <c r="H183" s="241" t="s">
        <v>501</v>
      </c>
      <c r="I183" s="241"/>
      <c r="J183" s="241"/>
      <c r="K183" s="241"/>
      <c r="L183" s="232" t="s">
        <v>297</v>
      </c>
      <c r="M183" s="233" t="s">
        <v>298</v>
      </c>
      <c r="N183" s="234">
        <f>45064.6</f>
        <v>45064.6</v>
      </c>
      <c r="O183" s="235">
        <v>41850.6</v>
      </c>
      <c r="P183" s="235">
        <f>45057.6+1100</f>
        <v>46157.6</v>
      </c>
      <c r="Q183" s="234">
        <f>45057.6+1100</f>
        <v>46157.6</v>
      </c>
      <c r="R183" s="234">
        <f>45057.6+1100</f>
        <v>46157.6</v>
      </c>
      <c r="S183" s="234">
        <f>45057.6+1100</f>
        <v>46157.6</v>
      </c>
    </row>
    <row r="184" spans="1:19" s="236" customFormat="1" ht="110.25">
      <c r="A184" s="143" t="s">
        <v>338</v>
      </c>
      <c r="B184" s="158">
        <v>1597</v>
      </c>
      <c r="C184" s="237" t="s">
        <v>481</v>
      </c>
      <c r="D184" s="238" t="s">
        <v>480</v>
      </c>
      <c r="E184" s="238" t="s">
        <v>411</v>
      </c>
      <c r="F184" s="244" t="s">
        <v>715</v>
      </c>
      <c r="G184" s="244" t="s">
        <v>716</v>
      </c>
      <c r="H184" s="244" t="s">
        <v>718</v>
      </c>
      <c r="I184" s="244"/>
      <c r="J184" s="244"/>
      <c r="K184" s="244"/>
      <c r="L184" s="232" t="s">
        <v>297</v>
      </c>
      <c r="M184" s="233" t="s">
        <v>298</v>
      </c>
      <c r="N184" s="235">
        <v>165</v>
      </c>
      <c r="O184" s="235">
        <v>155</v>
      </c>
      <c r="P184" s="235">
        <v>0</v>
      </c>
      <c r="Q184" s="235">
        <v>0</v>
      </c>
      <c r="R184" s="235">
        <v>0</v>
      </c>
      <c r="S184" s="235">
        <v>0</v>
      </c>
    </row>
    <row r="185" spans="1:19" ht="15.75">
      <c r="A185" s="148" t="s">
        <v>13</v>
      </c>
      <c r="B185" s="158"/>
      <c r="C185" s="202"/>
      <c r="D185" s="216"/>
      <c r="E185" s="216"/>
      <c r="F185" s="202"/>
      <c r="G185" s="216"/>
      <c r="H185" s="216"/>
      <c r="I185" s="216"/>
      <c r="J185" s="216"/>
      <c r="K185" s="216"/>
      <c r="L185" s="153"/>
      <c r="M185" s="154"/>
      <c r="N185" s="156"/>
      <c r="O185" s="156"/>
      <c r="P185" s="156"/>
      <c r="Q185" s="157"/>
      <c r="R185" s="157"/>
      <c r="S185" s="157"/>
    </row>
    <row r="186" spans="1:19" ht="63">
      <c r="A186" s="143" t="s">
        <v>173</v>
      </c>
      <c r="B186" s="217">
        <v>1600</v>
      </c>
      <c r="C186" s="210" t="s">
        <v>12</v>
      </c>
      <c r="D186" s="211" t="s">
        <v>12</v>
      </c>
      <c r="E186" s="211" t="s">
        <v>12</v>
      </c>
      <c r="F186" s="210" t="s">
        <v>12</v>
      </c>
      <c r="G186" s="211" t="s">
        <v>12</v>
      </c>
      <c r="H186" s="211" t="s">
        <v>12</v>
      </c>
      <c r="I186" s="211"/>
      <c r="J186" s="211"/>
      <c r="K186" s="211"/>
      <c r="L186" s="212" t="s">
        <v>12</v>
      </c>
      <c r="M186" s="147" t="s">
        <v>12</v>
      </c>
      <c r="N186" s="142">
        <f aca="true" t="shared" si="16" ref="N186:S186">SUM(N187:N188)</f>
        <v>0</v>
      </c>
      <c r="O186" s="142">
        <f t="shared" si="16"/>
        <v>0</v>
      </c>
      <c r="P186" s="142">
        <f t="shared" si="16"/>
        <v>0</v>
      </c>
      <c r="Q186" s="213">
        <f t="shared" si="16"/>
        <v>0</v>
      </c>
      <c r="R186" s="213">
        <f t="shared" si="16"/>
        <v>0</v>
      </c>
      <c r="S186" s="213">
        <f t="shared" si="16"/>
        <v>0</v>
      </c>
    </row>
    <row r="187" spans="1:19" ht="15.75">
      <c r="A187" s="148" t="s">
        <v>13</v>
      </c>
      <c r="B187" s="158">
        <v>1601</v>
      </c>
      <c r="C187" s="202"/>
      <c r="D187" s="216"/>
      <c r="E187" s="216"/>
      <c r="F187" s="202"/>
      <c r="G187" s="216"/>
      <c r="H187" s="216"/>
      <c r="I187" s="216"/>
      <c r="J187" s="216"/>
      <c r="K187" s="216"/>
      <c r="L187" s="153"/>
      <c r="M187" s="154"/>
      <c r="N187" s="156"/>
      <c r="O187" s="156"/>
      <c r="P187" s="156"/>
      <c r="Q187" s="157"/>
      <c r="R187" s="157"/>
      <c r="S187" s="157"/>
    </row>
    <row r="188" spans="1:19" ht="15.75">
      <c r="A188" s="148" t="s">
        <v>13</v>
      </c>
      <c r="B188" s="158">
        <v>1602</v>
      </c>
      <c r="C188" s="202"/>
      <c r="D188" s="216"/>
      <c r="E188" s="216"/>
      <c r="F188" s="202"/>
      <c r="G188" s="216"/>
      <c r="H188" s="216"/>
      <c r="I188" s="216"/>
      <c r="J188" s="216"/>
      <c r="K188" s="216"/>
      <c r="L188" s="153"/>
      <c r="M188" s="154"/>
      <c r="N188" s="156"/>
      <c r="O188" s="156"/>
      <c r="P188" s="156"/>
      <c r="Q188" s="157"/>
      <c r="R188" s="157"/>
      <c r="S188" s="157"/>
    </row>
    <row r="189" spans="1:19" ht="141.75">
      <c r="A189" s="143" t="s">
        <v>20</v>
      </c>
      <c r="B189" s="217">
        <v>1700</v>
      </c>
      <c r="C189" s="210" t="s">
        <v>12</v>
      </c>
      <c r="D189" s="211" t="s">
        <v>12</v>
      </c>
      <c r="E189" s="211" t="s">
        <v>12</v>
      </c>
      <c r="F189" s="210" t="s">
        <v>12</v>
      </c>
      <c r="G189" s="211" t="s">
        <v>12</v>
      </c>
      <c r="H189" s="211" t="s">
        <v>12</v>
      </c>
      <c r="I189" s="211"/>
      <c r="J189" s="211"/>
      <c r="K189" s="211"/>
      <c r="L189" s="212" t="s">
        <v>12</v>
      </c>
      <c r="M189" s="147" t="s">
        <v>12</v>
      </c>
      <c r="N189" s="142">
        <f aca="true" t="shared" si="17" ref="N189:S189">N190+N191+N192+N195</f>
        <v>177295.69999999998</v>
      </c>
      <c r="O189" s="142">
        <f t="shared" si="17"/>
        <v>177188.19999999998</v>
      </c>
      <c r="P189" s="142">
        <f t="shared" si="17"/>
        <v>61945.2</v>
      </c>
      <c r="Q189" s="213">
        <f t="shared" si="17"/>
        <v>56012.1</v>
      </c>
      <c r="R189" s="213">
        <f t="shared" si="17"/>
        <v>56157.5</v>
      </c>
      <c r="S189" s="213">
        <f t="shared" si="17"/>
        <v>56157.5</v>
      </c>
    </row>
    <row r="190" spans="1:19" ht="78.75">
      <c r="A190" s="143" t="s">
        <v>174</v>
      </c>
      <c r="B190" s="158">
        <v>1701</v>
      </c>
      <c r="C190" s="224" t="s">
        <v>527</v>
      </c>
      <c r="D190" s="224" t="s">
        <v>528</v>
      </c>
      <c r="E190" s="224" t="s">
        <v>529</v>
      </c>
      <c r="F190" s="224" t="s">
        <v>530</v>
      </c>
      <c r="G190" s="224" t="s">
        <v>531</v>
      </c>
      <c r="H190" s="224" t="s">
        <v>532</v>
      </c>
      <c r="I190" s="257" t="s">
        <v>910</v>
      </c>
      <c r="J190" s="257" t="s">
        <v>911</v>
      </c>
      <c r="K190" s="257" t="s">
        <v>912</v>
      </c>
      <c r="L190" s="258" t="s">
        <v>526</v>
      </c>
      <c r="M190" s="154" t="s">
        <v>314</v>
      </c>
      <c r="N190" s="155">
        <f>65195+97101.9</f>
        <v>162296.9</v>
      </c>
      <c r="O190" s="156">
        <f>65195+97101.9</f>
        <v>162296.9</v>
      </c>
      <c r="P190" s="156">
        <f>61945.2</f>
        <v>61945.2</v>
      </c>
      <c r="Q190" s="157">
        <v>56012.1</v>
      </c>
      <c r="R190" s="157">
        <v>56157.5</v>
      </c>
      <c r="S190" s="157">
        <v>56157.5</v>
      </c>
    </row>
    <row r="191" spans="1:19" ht="47.25">
      <c r="A191" s="143" t="s">
        <v>21</v>
      </c>
      <c r="B191" s="158">
        <v>1702</v>
      </c>
      <c r="C191" s="202"/>
      <c r="D191" s="216"/>
      <c r="E191" s="216"/>
      <c r="F191" s="202"/>
      <c r="G191" s="216"/>
      <c r="H191" s="216"/>
      <c r="I191" s="216"/>
      <c r="J191" s="216"/>
      <c r="K191" s="216"/>
      <c r="L191" s="153"/>
      <c r="M191" s="154"/>
      <c r="N191" s="159"/>
      <c r="O191" s="156"/>
      <c r="P191" s="156"/>
      <c r="Q191" s="157"/>
      <c r="R191" s="157"/>
      <c r="S191" s="157"/>
    </row>
    <row r="192" spans="1:19" ht="204.75">
      <c r="A192" s="143" t="s">
        <v>175</v>
      </c>
      <c r="B192" s="217">
        <v>1703</v>
      </c>
      <c r="C192" s="210" t="s">
        <v>12</v>
      </c>
      <c r="D192" s="211" t="s">
        <v>12</v>
      </c>
      <c r="E192" s="211" t="s">
        <v>12</v>
      </c>
      <c r="F192" s="210" t="s">
        <v>12</v>
      </c>
      <c r="G192" s="211" t="s">
        <v>12</v>
      </c>
      <c r="H192" s="211" t="s">
        <v>12</v>
      </c>
      <c r="I192" s="211"/>
      <c r="J192" s="211"/>
      <c r="K192" s="211"/>
      <c r="L192" s="212" t="s">
        <v>12</v>
      </c>
      <c r="M192" s="147" t="s">
        <v>12</v>
      </c>
      <c r="N192" s="142">
        <f aca="true" t="shared" si="18" ref="N192:S192">SUM(N193:N194)</f>
        <v>0</v>
      </c>
      <c r="O192" s="142">
        <f t="shared" si="18"/>
        <v>0</v>
      </c>
      <c r="P192" s="142">
        <f t="shared" si="18"/>
        <v>0</v>
      </c>
      <c r="Q192" s="213">
        <f t="shared" si="18"/>
        <v>0</v>
      </c>
      <c r="R192" s="213">
        <f t="shared" si="18"/>
        <v>0</v>
      </c>
      <c r="S192" s="213">
        <f t="shared" si="18"/>
        <v>0</v>
      </c>
    </row>
    <row r="193" spans="1:19" ht="15.75">
      <c r="A193" s="148" t="s">
        <v>13</v>
      </c>
      <c r="B193" s="158">
        <v>1704</v>
      </c>
      <c r="C193" s="202"/>
      <c r="D193" s="216"/>
      <c r="E193" s="216"/>
      <c r="F193" s="202"/>
      <c r="G193" s="216"/>
      <c r="H193" s="216"/>
      <c r="I193" s="216"/>
      <c r="J193" s="216"/>
      <c r="K193" s="216"/>
      <c r="L193" s="153"/>
      <c r="M193" s="154"/>
      <c r="N193" s="156"/>
      <c r="O193" s="156"/>
      <c r="P193" s="156"/>
      <c r="Q193" s="157"/>
      <c r="R193" s="157"/>
      <c r="S193" s="157"/>
    </row>
    <row r="194" spans="1:19" ht="15.75">
      <c r="A194" s="148" t="s">
        <v>13</v>
      </c>
      <c r="B194" s="158">
        <v>1705</v>
      </c>
      <c r="C194" s="202"/>
      <c r="D194" s="216"/>
      <c r="E194" s="216"/>
      <c r="F194" s="202"/>
      <c r="G194" s="216"/>
      <c r="H194" s="216"/>
      <c r="I194" s="216"/>
      <c r="J194" s="216"/>
      <c r="K194" s="216"/>
      <c r="L194" s="153"/>
      <c r="M194" s="154"/>
      <c r="N194" s="156"/>
      <c r="O194" s="156"/>
      <c r="P194" s="156"/>
      <c r="Q194" s="157"/>
      <c r="R194" s="157"/>
      <c r="S194" s="157"/>
    </row>
    <row r="195" spans="1:19" ht="31.5">
      <c r="A195" s="143" t="s">
        <v>22</v>
      </c>
      <c r="B195" s="217">
        <v>1800</v>
      </c>
      <c r="C195" s="210" t="s">
        <v>12</v>
      </c>
      <c r="D195" s="211" t="s">
        <v>12</v>
      </c>
      <c r="E195" s="211" t="s">
        <v>12</v>
      </c>
      <c r="F195" s="210" t="s">
        <v>12</v>
      </c>
      <c r="G195" s="211" t="s">
        <v>12</v>
      </c>
      <c r="H195" s="211" t="s">
        <v>12</v>
      </c>
      <c r="I195" s="211"/>
      <c r="J195" s="211"/>
      <c r="K195" s="211"/>
      <c r="L195" s="212" t="s">
        <v>12</v>
      </c>
      <c r="M195" s="147" t="s">
        <v>12</v>
      </c>
      <c r="N195" s="142">
        <f aca="true" t="shared" si="19" ref="N195:S195">N196+N200</f>
        <v>14998.800000000001</v>
      </c>
      <c r="O195" s="142">
        <f t="shared" si="19"/>
        <v>14891.300000000001</v>
      </c>
      <c r="P195" s="142">
        <f t="shared" si="19"/>
        <v>0</v>
      </c>
      <c r="Q195" s="213">
        <f t="shared" si="19"/>
        <v>0</v>
      </c>
      <c r="R195" s="213">
        <f t="shared" si="19"/>
        <v>0</v>
      </c>
      <c r="S195" s="213">
        <f t="shared" si="19"/>
        <v>0</v>
      </c>
    </row>
    <row r="196" spans="1:19" ht="126">
      <c r="A196" s="143" t="s">
        <v>176</v>
      </c>
      <c r="B196" s="217">
        <v>1801</v>
      </c>
      <c r="C196" s="210" t="s">
        <v>12</v>
      </c>
      <c r="D196" s="211" t="s">
        <v>12</v>
      </c>
      <c r="E196" s="211" t="s">
        <v>12</v>
      </c>
      <c r="F196" s="210" t="s">
        <v>12</v>
      </c>
      <c r="G196" s="211" t="s">
        <v>12</v>
      </c>
      <c r="H196" s="211" t="s">
        <v>12</v>
      </c>
      <c r="I196" s="218"/>
      <c r="J196" s="218"/>
      <c r="K196" s="218"/>
      <c r="L196" s="212" t="s">
        <v>12</v>
      </c>
      <c r="M196" s="147" t="s">
        <v>12</v>
      </c>
      <c r="N196" s="142">
        <f aca="true" t="shared" si="20" ref="N196:S196">SUM(N197:N199)</f>
        <v>409.1</v>
      </c>
      <c r="O196" s="142">
        <f t="shared" si="20"/>
        <v>409.1</v>
      </c>
      <c r="P196" s="142">
        <f t="shared" si="20"/>
        <v>0</v>
      </c>
      <c r="Q196" s="142">
        <f t="shared" si="20"/>
        <v>0</v>
      </c>
      <c r="R196" s="142">
        <f t="shared" si="20"/>
        <v>0</v>
      </c>
      <c r="S196" s="142">
        <f t="shared" si="20"/>
        <v>0</v>
      </c>
    </row>
    <row r="197" spans="1:19" s="265" customFormat="1" ht="110.25">
      <c r="A197" s="148" t="s">
        <v>796</v>
      </c>
      <c r="B197" s="194">
        <v>1804</v>
      </c>
      <c r="C197" s="151" t="s">
        <v>527</v>
      </c>
      <c r="D197" s="151" t="s">
        <v>539</v>
      </c>
      <c r="E197" s="151" t="s">
        <v>529</v>
      </c>
      <c r="F197" s="219"/>
      <c r="G197" s="259"/>
      <c r="H197" s="260"/>
      <c r="I197" s="253" t="s">
        <v>837</v>
      </c>
      <c r="J197" s="253" t="s">
        <v>435</v>
      </c>
      <c r="K197" s="253" t="s">
        <v>838</v>
      </c>
      <c r="L197" s="261" t="s">
        <v>299</v>
      </c>
      <c r="M197" s="262" t="s">
        <v>303</v>
      </c>
      <c r="N197" s="263">
        <v>9.1</v>
      </c>
      <c r="O197" s="264">
        <v>9.1</v>
      </c>
      <c r="P197" s="264">
        <v>0</v>
      </c>
      <c r="Q197" s="264">
        <v>0</v>
      </c>
      <c r="R197" s="264">
        <v>0</v>
      </c>
      <c r="S197" s="264">
        <v>0</v>
      </c>
    </row>
    <row r="198" spans="1:19" ht="110.25">
      <c r="A198" s="148" t="s">
        <v>797</v>
      </c>
      <c r="B198" s="158">
        <v>1802</v>
      </c>
      <c r="C198" s="224" t="s">
        <v>527</v>
      </c>
      <c r="D198" s="224" t="s">
        <v>538</v>
      </c>
      <c r="E198" s="224" t="s">
        <v>529</v>
      </c>
      <c r="F198" s="202"/>
      <c r="G198" s="216"/>
      <c r="H198" s="216"/>
      <c r="I198" s="266" t="s">
        <v>908</v>
      </c>
      <c r="J198" s="267" t="s">
        <v>605</v>
      </c>
      <c r="K198" s="268" t="s">
        <v>909</v>
      </c>
      <c r="L198" s="153" t="s">
        <v>301</v>
      </c>
      <c r="M198" s="154" t="s">
        <v>301</v>
      </c>
      <c r="N198" s="159">
        <v>400</v>
      </c>
      <c r="O198" s="156">
        <v>400</v>
      </c>
      <c r="P198" s="156">
        <v>0</v>
      </c>
      <c r="Q198" s="156">
        <v>0</v>
      </c>
      <c r="R198" s="156">
        <v>0</v>
      </c>
      <c r="S198" s="156">
        <v>0</v>
      </c>
    </row>
    <row r="199" spans="1:19" ht="15.75">
      <c r="A199" s="148" t="s">
        <v>13</v>
      </c>
      <c r="B199" s="158"/>
      <c r="C199" s="202"/>
      <c r="D199" s="216"/>
      <c r="E199" s="216"/>
      <c r="F199" s="202"/>
      <c r="G199" s="216"/>
      <c r="H199" s="216"/>
      <c r="I199" s="216"/>
      <c r="J199" s="216"/>
      <c r="K199" s="216"/>
      <c r="L199" s="153"/>
      <c r="M199" s="154"/>
      <c r="N199" s="159"/>
      <c r="O199" s="156"/>
      <c r="P199" s="156"/>
      <c r="Q199" s="157"/>
      <c r="R199" s="157"/>
      <c r="S199" s="157"/>
    </row>
    <row r="200" spans="1:19" ht="63">
      <c r="A200" s="143" t="s">
        <v>177</v>
      </c>
      <c r="B200" s="217">
        <v>1900</v>
      </c>
      <c r="C200" s="210" t="s">
        <v>12</v>
      </c>
      <c r="D200" s="211" t="s">
        <v>12</v>
      </c>
      <c r="E200" s="211" t="s">
        <v>12</v>
      </c>
      <c r="F200" s="210" t="s">
        <v>12</v>
      </c>
      <c r="G200" s="211" t="s">
        <v>12</v>
      </c>
      <c r="H200" s="211" t="s">
        <v>12</v>
      </c>
      <c r="I200" s="211"/>
      <c r="J200" s="211"/>
      <c r="K200" s="211"/>
      <c r="L200" s="212" t="s">
        <v>12</v>
      </c>
      <c r="M200" s="147" t="s">
        <v>12</v>
      </c>
      <c r="N200" s="142">
        <f aca="true" t="shared" si="21" ref="N200:S200">SUM(N201:N207)</f>
        <v>14589.7</v>
      </c>
      <c r="O200" s="142">
        <f t="shared" si="21"/>
        <v>14482.2</v>
      </c>
      <c r="P200" s="142">
        <f t="shared" si="21"/>
        <v>0</v>
      </c>
      <c r="Q200" s="142">
        <f t="shared" si="21"/>
        <v>0</v>
      </c>
      <c r="R200" s="142">
        <f t="shared" si="21"/>
        <v>0</v>
      </c>
      <c r="S200" s="142">
        <f t="shared" si="21"/>
        <v>0</v>
      </c>
    </row>
    <row r="201" spans="1:19" ht="409.5">
      <c r="A201" s="148" t="s">
        <v>798</v>
      </c>
      <c r="B201" s="158">
        <v>1903</v>
      </c>
      <c r="C201" s="202" t="s">
        <v>536</v>
      </c>
      <c r="D201" s="216" t="s">
        <v>540</v>
      </c>
      <c r="E201" s="202" t="s">
        <v>537</v>
      </c>
      <c r="F201" s="202" t="s">
        <v>541</v>
      </c>
      <c r="G201" s="253" t="s">
        <v>543</v>
      </c>
      <c r="H201" s="253" t="s">
        <v>542</v>
      </c>
      <c r="I201" s="269" t="s">
        <v>974</v>
      </c>
      <c r="J201" s="307" t="s">
        <v>975</v>
      </c>
      <c r="K201" s="308" t="s">
        <v>976</v>
      </c>
      <c r="L201" s="153" t="s">
        <v>544</v>
      </c>
      <c r="M201" s="154" t="s">
        <v>545</v>
      </c>
      <c r="N201" s="155">
        <f>8057.6+1374.9</f>
        <v>9432.5</v>
      </c>
      <c r="O201" s="156">
        <f>8057.6+1338.4</f>
        <v>9396</v>
      </c>
      <c r="P201" s="156">
        <v>0</v>
      </c>
      <c r="Q201" s="156">
        <v>0</v>
      </c>
      <c r="R201" s="156">
        <v>0</v>
      </c>
      <c r="S201" s="156">
        <v>0</v>
      </c>
    </row>
    <row r="202" spans="1:19" ht="165" customHeight="1">
      <c r="A202" s="148" t="s">
        <v>799</v>
      </c>
      <c r="B202" s="158">
        <v>1908</v>
      </c>
      <c r="C202" s="224" t="s">
        <v>527</v>
      </c>
      <c r="D202" s="224" t="s">
        <v>548</v>
      </c>
      <c r="E202" s="224" t="s">
        <v>529</v>
      </c>
      <c r="F202" s="202" t="s">
        <v>1034</v>
      </c>
      <c r="G202" s="253" t="s">
        <v>435</v>
      </c>
      <c r="H202" s="253" t="s">
        <v>546</v>
      </c>
      <c r="I202" s="269" t="s">
        <v>913</v>
      </c>
      <c r="J202" s="253" t="s">
        <v>605</v>
      </c>
      <c r="K202" s="253" t="s">
        <v>914</v>
      </c>
      <c r="L202" s="153" t="s">
        <v>303</v>
      </c>
      <c r="M202" s="154" t="s">
        <v>305</v>
      </c>
      <c r="N202" s="155">
        <v>3723.4</v>
      </c>
      <c r="O202" s="156">
        <v>3652.4</v>
      </c>
      <c r="P202" s="156">
        <v>0</v>
      </c>
      <c r="Q202" s="156">
        <v>0</v>
      </c>
      <c r="R202" s="156">
        <v>0</v>
      </c>
      <c r="S202" s="156">
        <v>0</v>
      </c>
    </row>
    <row r="203" spans="1:19" ht="315">
      <c r="A203" s="148" t="s">
        <v>800</v>
      </c>
      <c r="B203" s="158">
        <v>1909</v>
      </c>
      <c r="C203" s="224" t="s">
        <v>527</v>
      </c>
      <c r="D203" s="224" t="s">
        <v>548</v>
      </c>
      <c r="E203" s="224" t="s">
        <v>529</v>
      </c>
      <c r="F203" s="202" t="s">
        <v>554</v>
      </c>
      <c r="G203" s="216" t="s">
        <v>435</v>
      </c>
      <c r="H203" s="253" t="s">
        <v>555</v>
      </c>
      <c r="I203" s="270" t="s">
        <v>915</v>
      </c>
      <c r="J203" s="271" t="s">
        <v>555</v>
      </c>
      <c r="K203" s="272"/>
      <c r="L203" s="153" t="s">
        <v>303</v>
      </c>
      <c r="M203" s="154" t="s">
        <v>305</v>
      </c>
      <c r="N203" s="155">
        <v>564.2</v>
      </c>
      <c r="O203" s="156">
        <v>564.2</v>
      </c>
      <c r="P203" s="156">
        <v>0</v>
      </c>
      <c r="Q203" s="156">
        <v>0</v>
      </c>
      <c r="R203" s="156">
        <v>0</v>
      </c>
      <c r="S203" s="156">
        <v>0</v>
      </c>
    </row>
    <row r="204" spans="1:19" ht="141.75">
      <c r="A204" s="148" t="s">
        <v>801</v>
      </c>
      <c r="B204" s="158">
        <v>1910</v>
      </c>
      <c r="C204" s="202" t="s">
        <v>558</v>
      </c>
      <c r="D204" s="253" t="s">
        <v>560</v>
      </c>
      <c r="E204" s="253" t="s">
        <v>559</v>
      </c>
      <c r="F204" s="202" t="s">
        <v>556</v>
      </c>
      <c r="G204" s="216" t="s">
        <v>435</v>
      </c>
      <c r="H204" s="273" t="s">
        <v>557</v>
      </c>
      <c r="I204" s="274" t="s">
        <v>844</v>
      </c>
      <c r="J204" s="275" t="s">
        <v>845</v>
      </c>
      <c r="K204" s="274" t="s">
        <v>846</v>
      </c>
      <c r="L204" s="153" t="s">
        <v>300</v>
      </c>
      <c r="M204" s="154" t="s">
        <v>304</v>
      </c>
      <c r="N204" s="155">
        <v>399</v>
      </c>
      <c r="O204" s="156">
        <v>399</v>
      </c>
      <c r="P204" s="156">
        <v>0</v>
      </c>
      <c r="Q204" s="156">
        <v>0</v>
      </c>
      <c r="R204" s="156">
        <v>0</v>
      </c>
      <c r="S204" s="156">
        <v>0</v>
      </c>
    </row>
    <row r="205" spans="1:19" ht="204.75">
      <c r="A205" s="148" t="s">
        <v>802</v>
      </c>
      <c r="B205" s="158">
        <v>1911</v>
      </c>
      <c r="C205" s="202" t="s">
        <v>550</v>
      </c>
      <c r="D205" s="253" t="s">
        <v>551</v>
      </c>
      <c r="E205" s="202" t="s">
        <v>552</v>
      </c>
      <c r="F205" s="202" t="s">
        <v>549</v>
      </c>
      <c r="G205" s="216" t="s">
        <v>435</v>
      </c>
      <c r="H205" s="273" t="s">
        <v>553</v>
      </c>
      <c r="I205" s="266" t="s">
        <v>839</v>
      </c>
      <c r="J205" s="267" t="s">
        <v>819</v>
      </c>
      <c r="K205" s="268" t="s">
        <v>840</v>
      </c>
      <c r="L205" s="153" t="s">
        <v>299</v>
      </c>
      <c r="M205" s="154" t="s">
        <v>303</v>
      </c>
      <c r="N205" s="159">
        <v>437.9</v>
      </c>
      <c r="O205" s="156">
        <v>437.9</v>
      </c>
      <c r="P205" s="156">
        <v>0</v>
      </c>
      <c r="Q205" s="156">
        <v>0</v>
      </c>
      <c r="R205" s="156">
        <v>0</v>
      </c>
      <c r="S205" s="156">
        <v>0</v>
      </c>
    </row>
    <row r="206" spans="1:19" ht="173.25">
      <c r="A206" s="225" t="s">
        <v>803</v>
      </c>
      <c r="B206" s="158">
        <v>1924</v>
      </c>
      <c r="C206" s="202" t="s">
        <v>533</v>
      </c>
      <c r="D206" s="216" t="s">
        <v>435</v>
      </c>
      <c r="E206" s="253" t="s">
        <v>535</v>
      </c>
      <c r="F206" s="202" t="s">
        <v>534</v>
      </c>
      <c r="G206" s="216" t="s">
        <v>435</v>
      </c>
      <c r="H206" s="273" t="s">
        <v>1035</v>
      </c>
      <c r="I206" s="268" t="s">
        <v>837</v>
      </c>
      <c r="J206" s="268" t="s">
        <v>435</v>
      </c>
      <c r="K206" s="268" t="s">
        <v>838</v>
      </c>
      <c r="L206" s="153" t="s">
        <v>299</v>
      </c>
      <c r="M206" s="154" t="s">
        <v>303</v>
      </c>
      <c r="N206" s="159">
        <v>32.7</v>
      </c>
      <c r="O206" s="156">
        <v>32.7</v>
      </c>
      <c r="P206" s="156">
        <v>0</v>
      </c>
      <c r="Q206" s="156">
        <v>0</v>
      </c>
      <c r="R206" s="156">
        <v>0</v>
      </c>
      <c r="S206" s="156">
        <v>0</v>
      </c>
    </row>
    <row r="207" spans="1:19" ht="15.75">
      <c r="A207" s="148" t="s">
        <v>13</v>
      </c>
      <c r="B207" s="158"/>
      <c r="C207" s="202"/>
      <c r="D207" s="216"/>
      <c r="E207" s="216"/>
      <c r="F207" s="202"/>
      <c r="G207" s="216"/>
      <c r="H207" s="216"/>
      <c r="I207" s="267"/>
      <c r="J207" s="267"/>
      <c r="K207" s="267"/>
      <c r="L207" s="153"/>
      <c r="M207" s="154"/>
      <c r="N207" s="276"/>
      <c r="O207" s="156"/>
      <c r="P207" s="156"/>
      <c r="Q207" s="135"/>
      <c r="R207" s="135"/>
      <c r="S207" s="135"/>
    </row>
    <row r="208" spans="1:19" ht="94.5" hidden="1">
      <c r="A208" s="138" t="s">
        <v>23</v>
      </c>
      <c r="B208" s="217">
        <v>2000</v>
      </c>
      <c r="C208" s="210" t="s">
        <v>12</v>
      </c>
      <c r="D208" s="211" t="s">
        <v>12</v>
      </c>
      <c r="E208" s="211" t="s">
        <v>12</v>
      </c>
      <c r="F208" s="210" t="s">
        <v>12</v>
      </c>
      <c r="G208" s="211" t="s">
        <v>12</v>
      </c>
      <c r="H208" s="211" t="s">
        <v>12</v>
      </c>
      <c r="I208" s="211"/>
      <c r="J208" s="211"/>
      <c r="K208" s="211"/>
      <c r="L208" s="212" t="s">
        <v>12</v>
      </c>
      <c r="M208" s="147" t="s">
        <v>12</v>
      </c>
      <c r="N208" s="277"/>
      <c r="O208" s="142">
        <f>O209+O254+O273+O294+O336</f>
        <v>0</v>
      </c>
      <c r="P208" s="142">
        <f>P209+P254+P273+P294+P336</f>
        <v>0</v>
      </c>
      <c r="Q208" s="135"/>
      <c r="R208" s="135"/>
      <c r="S208" s="135"/>
    </row>
    <row r="209" spans="1:19" ht="110.25" hidden="1">
      <c r="A209" s="143" t="s">
        <v>178</v>
      </c>
      <c r="B209" s="217">
        <v>2001</v>
      </c>
      <c r="C209" s="210" t="s">
        <v>12</v>
      </c>
      <c r="D209" s="211" t="s">
        <v>12</v>
      </c>
      <c r="E209" s="211" t="s">
        <v>12</v>
      </c>
      <c r="F209" s="210" t="s">
        <v>12</v>
      </c>
      <c r="G209" s="211" t="s">
        <v>12</v>
      </c>
      <c r="H209" s="211" t="s">
        <v>12</v>
      </c>
      <c r="I209" s="211"/>
      <c r="J209" s="211"/>
      <c r="K209" s="211"/>
      <c r="L209" s="212" t="s">
        <v>12</v>
      </c>
      <c r="M209" s="147" t="s">
        <v>12</v>
      </c>
      <c r="N209" s="277"/>
      <c r="O209" s="142">
        <f>SUM(O210:O253)</f>
        <v>0</v>
      </c>
      <c r="P209" s="142">
        <f>SUM(P210:P253)</f>
        <v>0</v>
      </c>
      <c r="Q209" s="135"/>
      <c r="R209" s="135"/>
      <c r="S209" s="135"/>
    </row>
    <row r="210" spans="1:19" ht="110.25" hidden="1">
      <c r="A210" s="148" t="s">
        <v>182</v>
      </c>
      <c r="B210" s="158">
        <v>2002</v>
      </c>
      <c r="C210" s="208"/>
      <c r="D210" s="208"/>
      <c r="E210" s="208"/>
      <c r="F210" s="208"/>
      <c r="G210" s="208"/>
      <c r="H210" s="208"/>
      <c r="I210" s="208"/>
      <c r="J210" s="208"/>
      <c r="K210" s="208"/>
      <c r="L210" s="278"/>
      <c r="M210" s="134"/>
      <c r="N210" s="279"/>
      <c r="O210" s="156"/>
      <c r="P210" s="156"/>
      <c r="Q210" s="135"/>
      <c r="R210" s="135"/>
      <c r="S210" s="135"/>
    </row>
    <row r="211" spans="1:19" ht="31.5" hidden="1">
      <c r="A211" s="148" t="s">
        <v>183</v>
      </c>
      <c r="B211" s="158">
        <v>2003</v>
      </c>
      <c r="C211" s="208"/>
      <c r="D211" s="208"/>
      <c r="E211" s="208"/>
      <c r="F211" s="208"/>
      <c r="G211" s="208"/>
      <c r="H211" s="208"/>
      <c r="I211" s="208"/>
      <c r="J211" s="208"/>
      <c r="K211" s="208"/>
      <c r="L211" s="278"/>
      <c r="M211" s="134"/>
      <c r="N211" s="279"/>
      <c r="O211" s="156"/>
      <c r="P211" s="156"/>
      <c r="Q211" s="135"/>
      <c r="R211" s="135"/>
      <c r="S211" s="135"/>
    </row>
    <row r="212" spans="1:19" ht="63" hidden="1">
      <c r="A212" s="148" t="s">
        <v>184</v>
      </c>
      <c r="B212" s="158">
        <v>2004</v>
      </c>
      <c r="C212" s="208"/>
      <c r="D212" s="208"/>
      <c r="E212" s="208"/>
      <c r="F212" s="208"/>
      <c r="G212" s="208"/>
      <c r="H212" s="208"/>
      <c r="I212" s="208"/>
      <c r="J212" s="208"/>
      <c r="K212" s="208"/>
      <c r="L212" s="278"/>
      <c r="M212" s="134"/>
      <c r="N212" s="279"/>
      <c r="O212" s="156"/>
      <c r="P212" s="156"/>
      <c r="Q212" s="135"/>
      <c r="R212" s="135"/>
      <c r="S212" s="135"/>
    </row>
    <row r="213" spans="1:19" ht="94.5" hidden="1">
      <c r="A213" s="148" t="s">
        <v>185</v>
      </c>
      <c r="B213" s="158">
        <v>2005</v>
      </c>
      <c r="C213" s="208"/>
      <c r="D213" s="208"/>
      <c r="E213" s="208"/>
      <c r="F213" s="208"/>
      <c r="G213" s="208"/>
      <c r="H213" s="208"/>
      <c r="I213" s="208"/>
      <c r="J213" s="208"/>
      <c r="K213" s="208"/>
      <c r="L213" s="278"/>
      <c r="M213" s="134"/>
      <c r="N213" s="279"/>
      <c r="O213" s="156"/>
      <c r="P213" s="156"/>
      <c r="Q213" s="135"/>
      <c r="R213" s="135"/>
      <c r="S213" s="135"/>
    </row>
    <row r="214" spans="1:19" ht="236.25" hidden="1">
      <c r="A214" s="148" t="s">
        <v>186</v>
      </c>
      <c r="B214" s="158">
        <v>2006</v>
      </c>
      <c r="C214" s="208"/>
      <c r="D214" s="208"/>
      <c r="E214" s="208"/>
      <c r="F214" s="208"/>
      <c r="G214" s="208"/>
      <c r="H214" s="208"/>
      <c r="I214" s="208"/>
      <c r="J214" s="208"/>
      <c r="K214" s="208"/>
      <c r="L214" s="278"/>
      <c r="M214" s="134"/>
      <c r="N214" s="279"/>
      <c r="O214" s="156"/>
      <c r="P214" s="156"/>
      <c r="Q214" s="135"/>
      <c r="R214" s="135"/>
      <c r="S214" s="135"/>
    </row>
    <row r="215" spans="1:19" ht="173.25" hidden="1">
      <c r="A215" s="148" t="s">
        <v>187</v>
      </c>
      <c r="B215" s="158">
        <v>2007</v>
      </c>
      <c r="C215" s="208"/>
      <c r="D215" s="208"/>
      <c r="E215" s="208"/>
      <c r="F215" s="208"/>
      <c r="G215" s="208"/>
      <c r="H215" s="208"/>
      <c r="I215" s="208"/>
      <c r="J215" s="208"/>
      <c r="K215" s="208"/>
      <c r="L215" s="278"/>
      <c r="M215" s="134"/>
      <c r="N215" s="279"/>
      <c r="O215" s="156"/>
      <c r="P215" s="156"/>
      <c r="Q215" s="135"/>
      <c r="R215" s="135"/>
      <c r="S215" s="135"/>
    </row>
    <row r="216" spans="1:19" ht="63" hidden="1">
      <c r="A216" s="148" t="s">
        <v>188</v>
      </c>
      <c r="B216" s="158">
        <v>2008</v>
      </c>
      <c r="C216" s="208"/>
      <c r="D216" s="208"/>
      <c r="E216" s="208"/>
      <c r="F216" s="208"/>
      <c r="G216" s="208"/>
      <c r="H216" s="208"/>
      <c r="I216" s="208"/>
      <c r="J216" s="208"/>
      <c r="K216" s="208"/>
      <c r="L216" s="278"/>
      <c r="M216" s="134"/>
      <c r="N216" s="279"/>
      <c r="O216" s="156"/>
      <c r="P216" s="156"/>
      <c r="Q216" s="135"/>
      <c r="R216" s="135"/>
      <c r="S216" s="135"/>
    </row>
    <row r="217" spans="1:19" ht="78.75" hidden="1">
      <c r="A217" s="148" t="s">
        <v>189</v>
      </c>
      <c r="B217" s="158">
        <v>2009</v>
      </c>
      <c r="C217" s="208"/>
      <c r="D217" s="208"/>
      <c r="E217" s="208"/>
      <c r="F217" s="208"/>
      <c r="G217" s="208"/>
      <c r="H217" s="208"/>
      <c r="I217" s="208"/>
      <c r="J217" s="208"/>
      <c r="K217" s="208"/>
      <c r="L217" s="278"/>
      <c r="M217" s="134"/>
      <c r="N217" s="279"/>
      <c r="O217" s="156"/>
      <c r="P217" s="156"/>
      <c r="Q217" s="135"/>
      <c r="R217" s="135"/>
      <c r="S217" s="135"/>
    </row>
    <row r="218" spans="1:19" ht="189" hidden="1">
      <c r="A218" s="148" t="s">
        <v>190</v>
      </c>
      <c r="B218" s="158">
        <v>2010</v>
      </c>
      <c r="C218" s="208"/>
      <c r="D218" s="208"/>
      <c r="E218" s="208"/>
      <c r="F218" s="208"/>
      <c r="G218" s="208"/>
      <c r="H218" s="208"/>
      <c r="I218" s="208"/>
      <c r="J218" s="208"/>
      <c r="K218" s="208"/>
      <c r="L218" s="278"/>
      <c r="M218" s="134"/>
      <c r="N218" s="279"/>
      <c r="O218" s="156"/>
      <c r="P218" s="156"/>
      <c r="Q218" s="135"/>
      <c r="R218" s="135"/>
      <c r="S218" s="135"/>
    </row>
    <row r="219" spans="1:19" ht="47.25" hidden="1">
      <c r="A219" s="148" t="s">
        <v>191</v>
      </c>
      <c r="B219" s="158">
        <v>2011</v>
      </c>
      <c r="C219" s="208"/>
      <c r="D219" s="208"/>
      <c r="E219" s="208"/>
      <c r="F219" s="208"/>
      <c r="G219" s="208"/>
      <c r="H219" s="208"/>
      <c r="I219" s="208"/>
      <c r="J219" s="208"/>
      <c r="K219" s="208"/>
      <c r="L219" s="278"/>
      <c r="M219" s="134"/>
      <c r="N219" s="279"/>
      <c r="O219" s="156"/>
      <c r="P219" s="156"/>
      <c r="Q219" s="135"/>
      <c r="R219" s="135"/>
      <c r="S219" s="135"/>
    </row>
    <row r="220" spans="1:19" ht="47.25" hidden="1">
      <c r="A220" s="148" t="s">
        <v>192</v>
      </c>
      <c r="B220" s="158">
        <v>2012</v>
      </c>
      <c r="C220" s="208"/>
      <c r="D220" s="208"/>
      <c r="E220" s="208"/>
      <c r="F220" s="208"/>
      <c r="G220" s="208"/>
      <c r="H220" s="208"/>
      <c r="I220" s="208"/>
      <c r="J220" s="208"/>
      <c r="K220" s="208"/>
      <c r="L220" s="278"/>
      <c r="M220" s="134"/>
      <c r="N220" s="279"/>
      <c r="O220" s="156"/>
      <c r="P220" s="156"/>
      <c r="Q220" s="135"/>
      <c r="R220" s="135"/>
      <c r="S220" s="135"/>
    </row>
    <row r="221" spans="1:19" ht="78.75" hidden="1">
      <c r="A221" s="148" t="s">
        <v>193</v>
      </c>
      <c r="B221" s="158">
        <v>2013</v>
      </c>
      <c r="C221" s="208"/>
      <c r="D221" s="208"/>
      <c r="E221" s="208"/>
      <c r="F221" s="208"/>
      <c r="G221" s="208"/>
      <c r="H221" s="208"/>
      <c r="I221" s="208"/>
      <c r="J221" s="208"/>
      <c r="K221" s="208"/>
      <c r="L221" s="278"/>
      <c r="M221" s="134"/>
      <c r="N221" s="279"/>
      <c r="O221" s="156"/>
      <c r="P221" s="156"/>
      <c r="Q221" s="135"/>
      <c r="R221" s="135"/>
      <c r="S221" s="135"/>
    </row>
    <row r="222" spans="1:19" ht="94.5" hidden="1">
      <c r="A222" s="148" t="s">
        <v>54</v>
      </c>
      <c r="B222" s="158">
        <v>2014</v>
      </c>
      <c r="C222" s="208"/>
      <c r="D222" s="208"/>
      <c r="E222" s="208"/>
      <c r="F222" s="208"/>
      <c r="G222" s="208"/>
      <c r="H222" s="208"/>
      <c r="I222" s="208"/>
      <c r="J222" s="208"/>
      <c r="K222" s="208"/>
      <c r="L222" s="278"/>
      <c r="M222" s="134"/>
      <c r="N222" s="279"/>
      <c r="O222" s="156"/>
      <c r="P222" s="156"/>
      <c r="Q222" s="135"/>
      <c r="R222" s="135"/>
      <c r="S222" s="135"/>
    </row>
    <row r="223" spans="1:19" ht="31.5" hidden="1">
      <c r="A223" s="148" t="s">
        <v>194</v>
      </c>
      <c r="B223" s="158">
        <v>2015</v>
      </c>
      <c r="C223" s="208"/>
      <c r="D223" s="208"/>
      <c r="E223" s="208"/>
      <c r="F223" s="208"/>
      <c r="G223" s="208"/>
      <c r="H223" s="208"/>
      <c r="I223" s="208"/>
      <c r="J223" s="208"/>
      <c r="K223" s="208"/>
      <c r="L223" s="278"/>
      <c r="M223" s="134"/>
      <c r="N223" s="279"/>
      <c r="O223" s="156"/>
      <c r="P223" s="156"/>
      <c r="Q223" s="135"/>
      <c r="R223" s="135"/>
      <c r="S223" s="135"/>
    </row>
    <row r="224" spans="1:19" ht="47.25" hidden="1">
      <c r="A224" s="148" t="s">
        <v>195</v>
      </c>
      <c r="B224" s="158">
        <v>2016</v>
      </c>
      <c r="C224" s="208"/>
      <c r="D224" s="208"/>
      <c r="E224" s="208"/>
      <c r="F224" s="208"/>
      <c r="G224" s="208"/>
      <c r="H224" s="208"/>
      <c r="I224" s="208"/>
      <c r="J224" s="208"/>
      <c r="K224" s="208"/>
      <c r="L224" s="278"/>
      <c r="M224" s="134"/>
      <c r="N224" s="279"/>
      <c r="O224" s="156"/>
      <c r="P224" s="156"/>
      <c r="Q224" s="135"/>
      <c r="R224" s="135"/>
      <c r="S224" s="135"/>
    </row>
    <row r="225" spans="1:19" ht="393.75" hidden="1">
      <c r="A225" s="148" t="s">
        <v>56</v>
      </c>
      <c r="B225" s="158">
        <v>2017</v>
      </c>
      <c r="C225" s="208"/>
      <c r="D225" s="208"/>
      <c r="E225" s="208"/>
      <c r="F225" s="208"/>
      <c r="G225" s="208"/>
      <c r="H225" s="208"/>
      <c r="I225" s="208"/>
      <c r="J225" s="208"/>
      <c r="K225" s="208"/>
      <c r="L225" s="278"/>
      <c r="M225" s="134"/>
      <c r="N225" s="279"/>
      <c r="O225" s="156"/>
      <c r="P225" s="156"/>
      <c r="Q225" s="135"/>
      <c r="R225" s="135"/>
      <c r="S225" s="135"/>
    </row>
    <row r="226" spans="1:19" ht="267.75" hidden="1">
      <c r="A226" s="148" t="s">
        <v>196</v>
      </c>
      <c r="B226" s="158">
        <v>2018</v>
      </c>
      <c r="C226" s="208"/>
      <c r="D226" s="208"/>
      <c r="E226" s="208"/>
      <c r="F226" s="208"/>
      <c r="G226" s="208"/>
      <c r="H226" s="208"/>
      <c r="I226" s="208"/>
      <c r="J226" s="208"/>
      <c r="K226" s="208"/>
      <c r="L226" s="278"/>
      <c r="M226" s="134"/>
      <c r="N226" s="279"/>
      <c r="O226" s="156"/>
      <c r="P226" s="156"/>
      <c r="Q226" s="135"/>
      <c r="R226" s="135"/>
      <c r="S226" s="135"/>
    </row>
    <row r="227" spans="1:19" ht="63" hidden="1">
      <c r="A227" s="148" t="s">
        <v>197</v>
      </c>
      <c r="B227" s="158">
        <v>2019</v>
      </c>
      <c r="C227" s="208"/>
      <c r="D227" s="208"/>
      <c r="E227" s="208"/>
      <c r="F227" s="208"/>
      <c r="G227" s="208"/>
      <c r="H227" s="208"/>
      <c r="I227" s="208"/>
      <c r="J227" s="208"/>
      <c r="K227" s="208"/>
      <c r="L227" s="278"/>
      <c r="M227" s="134"/>
      <c r="N227" s="279"/>
      <c r="O227" s="156"/>
      <c r="P227" s="156"/>
      <c r="Q227" s="135"/>
      <c r="R227" s="135"/>
      <c r="S227" s="135"/>
    </row>
    <row r="228" spans="1:19" ht="63" hidden="1">
      <c r="A228" s="148" t="s">
        <v>198</v>
      </c>
      <c r="B228" s="158">
        <v>2020</v>
      </c>
      <c r="C228" s="208"/>
      <c r="D228" s="208"/>
      <c r="E228" s="208"/>
      <c r="F228" s="208"/>
      <c r="G228" s="208"/>
      <c r="H228" s="208"/>
      <c r="I228" s="208"/>
      <c r="J228" s="208"/>
      <c r="K228" s="208"/>
      <c r="L228" s="278"/>
      <c r="M228" s="134"/>
      <c r="N228" s="279"/>
      <c r="O228" s="156"/>
      <c r="P228" s="156"/>
      <c r="Q228" s="135"/>
      <c r="R228" s="135"/>
      <c r="S228" s="135"/>
    </row>
    <row r="229" spans="1:19" ht="47.25" hidden="1">
      <c r="A229" s="148" t="s">
        <v>199</v>
      </c>
      <c r="B229" s="158">
        <v>2021</v>
      </c>
      <c r="C229" s="208"/>
      <c r="D229" s="208"/>
      <c r="E229" s="208"/>
      <c r="F229" s="208"/>
      <c r="G229" s="208"/>
      <c r="H229" s="208"/>
      <c r="I229" s="208"/>
      <c r="J229" s="208"/>
      <c r="K229" s="208"/>
      <c r="L229" s="278"/>
      <c r="M229" s="134"/>
      <c r="N229" s="279"/>
      <c r="O229" s="156"/>
      <c r="P229" s="156"/>
      <c r="Q229" s="135"/>
      <c r="R229" s="135"/>
      <c r="S229" s="135"/>
    </row>
    <row r="230" spans="1:19" ht="94.5" hidden="1">
      <c r="A230" s="148" t="s">
        <v>200</v>
      </c>
      <c r="B230" s="158">
        <v>2022</v>
      </c>
      <c r="C230" s="208"/>
      <c r="D230" s="208"/>
      <c r="E230" s="208"/>
      <c r="F230" s="208"/>
      <c r="G230" s="208"/>
      <c r="H230" s="208"/>
      <c r="I230" s="208"/>
      <c r="J230" s="208"/>
      <c r="K230" s="208"/>
      <c r="L230" s="278"/>
      <c r="M230" s="134"/>
      <c r="N230" s="279"/>
      <c r="O230" s="156"/>
      <c r="P230" s="156"/>
      <c r="Q230" s="135"/>
      <c r="R230" s="135"/>
      <c r="S230" s="135"/>
    </row>
    <row r="231" spans="1:19" ht="141.75" hidden="1">
      <c r="A231" s="148" t="s">
        <v>201</v>
      </c>
      <c r="B231" s="158">
        <v>2023</v>
      </c>
      <c r="C231" s="208"/>
      <c r="D231" s="208"/>
      <c r="E231" s="208"/>
      <c r="F231" s="208"/>
      <c r="G231" s="208"/>
      <c r="H231" s="208"/>
      <c r="I231" s="208"/>
      <c r="J231" s="208"/>
      <c r="K231" s="208"/>
      <c r="L231" s="278"/>
      <c r="M231" s="134"/>
      <c r="N231" s="279"/>
      <c r="O231" s="156"/>
      <c r="P231" s="156"/>
      <c r="Q231" s="135"/>
      <c r="R231" s="135"/>
      <c r="S231" s="135"/>
    </row>
    <row r="232" spans="1:19" ht="110.25" hidden="1">
      <c r="A232" s="148" t="s">
        <v>202</v>
      </c>
      <c r="B232" s="158">
        <v>2024</v>
      </c>
      <c r="C232" s="208"/>
      <c r="D232" s="208"/>
      <c r="E232" s="208"/>
      <c r="F232" s="208"/>
      <c r="G232" s="208"/>
      <c r="H232" s="208"/>
      <c r="I232" s="208"/>
      <c r="J232" s="208"/>
      <c r="K232" s="208"/>
      <c r="L232" s="278"/>
      <c r="M232" s="134"/>
      <c r="N232" s="279"/>
      <c r="O232" s="156"/>
      <c r="P232" s="156"/>
      <c r="Q232" s="135"/>
      <c r="R232" s="135"/>
      <c r="S232" s="135"/>
    </row>
    <row r="233" spans="1:19" ht="63" hidden="1">
      <c r="A233" s="148" t="s">
        <v>203</v>
      </c>
      <c r="B233" s="158">
        <v>2025</v>
      </c>
      <c r="C233" s="208"/>
      <c r="D233" s="208"/>
      <c r="E233" s="208"/>
      <c r="F233" s="208"/>
      <c r="G233" s="208"/>
      <c r="H233" s="208"/>
      <c r="I233" s="208"/>
      <c r="J233" s="208"/>
      <c r="K233" s="208"/>
      <c r="L233" s="278"/>
      <c r="M233" s="134"/>
      <c r="N233" s="279"/>
      <c r="O233" s="156"/>
      <c r="P233" s="156"/>
      <c r="Q233" s="135"/>
      <c r="R233" s="135"/>
      <c r="S233" s="135"/>
    </row>
    <row r="234" spans="1:19" ht="31.5" hidden="1">
      <c r="A234" s="148" t="s">
        <v>204</v>
      </c>
      <c r="B234" s="158">
        <v>2026</v>
      </c>
      <c r="C234" s="208"/>
      <c r="D234" s="208"/>
      <c r="E234" s="208"/>
      <c r="F234" s="208"/>
      <c r="G234" s="208"/>
      <c r="H234" s="208"/>
      <c r="I234" s="208"/>
      <c r="J234" s="208"/>
      <c r="K234" s="208"/>
      <c r="L234" s="278"/>
      <c r="M234" s="134"/>
      <c r="N234" s="279"/>
      <c r="O234" s="156"/>
      <c r="P234" s="156"/>
      <c r="Q234" s="135"/>
      <c r="R234" s="135"/>
      <c r="S234" s="135"/>
    </row>
    <row r="235" spans="1:19" ht="31.5" hidden="1">
      <c r="A235" s="148" t="s">
        <v>205</v>
      </c>
      <c r="B235" s="158">
        <v>2027</v>
      </c>
      <c r="C235" s="208"/>
      <c r="D235" s="208"/>
      <c r="E235" s="208"/>
      <c r="F235" s="208"/>
      <c r="G235" s="208"/>
      <c r="H235" s="208"/>
      <c r="I235" s="208"/>
      <c r="J235" s="208"/>
      <c r="K235" s="208"/>
      <c r="L235" s="278"/>
      <c r="M235" s="134"/>
      <c r="N235" s="279"/>
      <c r="O235" s="156"/>
      <c r="P235" s="156"/>
      <c r="Q235" s="135"/>
      <c r="R235" s="135"/>
      <c r="S235" s="135"/>
    </row>
    <row r="236" spans="1:19" ht="94.5" hidden="1">
      <c r="A236" s="148" t="s">
        <v>206</v>
      </c>
      <c r="B236" s="158">
        <v>2028</v>
      </c>
      <c r="C236" s="208"/>
      <c r="D236" s="208"/>
      <c r="E236" s="208"/>
      <c r="F236" s="208"/>
      <c r="G236" s="208"/>
      <c r="H236" s="208"/>
      <c r="I236" s="208"/>
      <c r="J236" s="208"/>
      <c r="K236" s="208"/>
      <c r="L236" s="278"/>
      <c r="M236" s="134"/>
      <c r="N236" s="279"/>
      <c r="O236" s="156"/>
      <c r="P236" s="156"/>
      <c r="Q236" s="135"/>
      <c r="R236" s="135"/>
      <c r="S236" s="135"/>
    </row>
    <row r="237" spans="1:19" ht="393.75" hidden="1">
      <c r="A237" s="148" t="s">
        <v>207</v>
      </c>
      <c r="B237" s="158">
        <v>2029</v>
      </c>
      <c r="C237" s="208"/>
      <c r="D237" s="208"/>
      <c r="E237" s="208"/>
      <c r="F237" s="208"/>
      <c r="G237" s="208"/>
      <c r="H237" s="208"/>
      <c r="I237" s="208"/>
      <c r="J237" s="208"/>
      <c r="K237" s="208"/>
      <c r="L237" s="278"/>
      <c r="M237" s="134"/>
      <c r="N237" s="279"/>
      <c r="O237" s="156"/>
      <c r="P237" s="156"/>
      <c r="Q237" s="135"/>
      <c r="R237" s="135"/>
      <c r="S237" s="135"/>
    </row>
    <row r="238" spans="1:19" ht="409.5" hidden="1">
      <c r="A238" s="148" t="s">
        <v>208</v>
      </c>
      <c r="B238" s="158">
        <v>2030</v>
      </c>
      <c r="C238" s="208"/>
      <c r="D238" s="208"/>
      <c r="E238" s="208"/>
      <c r="F238" s="208"/>
      <c r="G238" s="208"/>
      <c r="H238" s="208"/>
      <c r="I238" s="208"/>
      <c r="J238" s="208"/>
      <c r="K238" s="208"/>
      <c r="L238" s="278"/>
      <c r="M238" s="134"/>
      <c r="N238" s="279"/>
      <c r="O238" s="156"/>
      <c r="P238" s="156"/>
      <c r="Q238" s="135"/>
      <c r="R238" s="135"/>
      <c r="S238" s="135"/>
    </row>
    <row r="239" spans="1:19" ht="157.5" hidden="1">
      <c r="A239" s="148" t="s">
        <v>209</v>
      </c>
      <c r="B239" s="158">
        <v>2031</v>
      </c>
      <c r="C239" s="208"/>
      <c r="D239" s="208"/>
      <c r="E239" s="208"/>
      <c r="F239" s="208"/>
      <c r="G239" s="208"/>
      <c r="H239" s="208"/>
      <c r="I239" s="208"/>
      <c r="J239" s="208"/>
      <c r="K239" s="208"/>
      <c r="L239" s="278"/>
      <c r="M239" s="134"/>
      <c r="N239" s="279"/>
      <c r="O239" s="156"/>
      <c r="P239" s="156"/>
      <c r="Q239" s="135"/>
      <c r="R239" s="135"/>
      <c r="S239" s="135"/>
    </row>
    <row r="240" spans="1:19" ht="204.75" hidden="1">
      <c r="A240" s="148" t="s">
        <v>210</v>
      </c>
      <c r="B240" s="158">
        <v>2032</v>
      </c>
      <c r="C240" s="208"/>
      <c r="D240" s="208"/>
      <c r="E240" s="208"/>
      <c r="F240" s="208"/>
      <c r="G240" s="208"/>
      <c r="H240" s="208"/>
      <c r="I240" s="208"/>
      <c r="J240" s="208"/>
      <c r="K240" s="208"/>
      <c r="L240" s="278"/>
      <c r="M240" s="134"/>
      <c r="N240" s="279"/>
      <c r="O240" s="156"/>
      <c r="P240" s="156"/>
      <c r="Q240" s="135"/>
      <c r="R240" s="135"/>
      <c r="S240" s="135"/>
    </row>
    <row r="241" spans="1:19" ht="220.5" hidden="1">
      <c r="A241" s="148" t="s">
        <v>211</v>
      </c>
      <c r="B241" s="158">
        <v>2033</v>
      </c>
      <c r="C241" s="208"/>
      <c r="D241" s="208"/>
      <c r="E241" s="208"/>
      <c r="F241" s="208"/>
      <c r="G241" s="208"/>
      <c r="H241" s="208"/>
      <c r="I241" s="208"/>
      <c r="J241" s="208"/>
      <c r="K241" s="208"/>
      <c r="L241" s="278"/>
      <c r="M241" s="134"/>
      <c r="N241" s="279"/>
      <c r="O241" s="156"/>
      <c r="P241" s="156"/>
      <c r="Q241" s="135"/>
      <c r="R241" s="135"/>
      <c r="S241" s="135"/>
    </row>
    <row r="242" spans="1:19" ht="78.75" hidden="1">
      <c r="A242" s="148" t="s">
        <v>212</v>
      </c>
      <c r="B242" s="158">
        <v>2034</v>
      </c>
      <c r="C242" s="208"/>
      <c r="D242" s="208"/>
      <c r="E242" s="208"/>
      <c r="F242" s="208"/>
      <c r="G242" s="208"/>
      <c r="H242" s="208"/>
      <c r="I242" s="208"/>
      <c r="J242" s="208"/>
      <c r="K242" s="208"/>
      <c r="L242" s="278"/>
      <c r="M242" s="134"/>
      <c r="N242" s="279"/>
      <c r="O242" s="156"/>
      <c r="P242" s="156"/>
      <c r="Q242" s="135"/>
      <c r="R242" s="135"/>
      <c r="S242" s="135"/>
    </row>
    <row r="243" spans="1:19" ht="110.25" hidden="1">
      <c r="A243" s="148" t="s">
        <v>213</v>
      </c>
      <c r="B243" s="158">
        <v>2035</v>
      </c>
      <c r="C243" s="208"/>
      <c r="D243" s="208"/>
      <c r="E243" s="208"/>
      <c r="F243" s="208"/>
      <c r="G243" s="208"/>
      <c r="H243" s="208"/>
      <c r="I243" s="208"/>
      <c r="J243" s="208"/>
      <c r="K243" s="208"/>
      <c r="L243" s="278"/>
      <c r="M243" s="134"/>
      <c r="N243" s="279"/>
      <c r="O243" s="156"/>
      <c r="P243" s="156"/>
      <c r="Q243" s="135"/>
      <c r="R243" s="135"/>
      <c r="S243" s="135"/>
    </row>
    <row r="244" spans="1:19" ht="78.75" hidden="1">
      <c r="A244" s="148" t="s">
        <v>214</v>
      </c>
      <c r="B244" s="158">
        <v>2036</v>
      </c>
      <c r="C244" s="208"/>
      <c r="D244" s="208"/>
      <c r="E244" s="208"/>
      <c r="F244" s="208"/>
      <c r="G244" s="208"/>
      <c r="H244" s="208"/>
      <c r="I244" s="208"/>
      <c r="J244" s="208"/>
      <c r="K244" s="208"/>
      <c r="L244" s="278"/>
      <c r="M244" s="134"/>
      <c r="N244" s="279"/>
      <c r="O244" s="156"/>
      <c r="P244" s="156"/>
      <c r="Q244" s="135"/>
      <c r="R244" s="135"/>
      <c r="S244" s="135"/>
    </row>
    <row r="245" spans="1:19" ht="63" hidden="1">
      <c r="A245" s="148" t="s">
        <v>70</v>
      </c>
      <c r="B245" s="158">
        <v>2037</v>
      </c>
      <c r="C245" s="208"/>
      <c r="D245" s="208"/>
      <c r="E245" s="208"/>
      <c r="F245" s="208"/>
      <c r="G245" s="208"/>
      <c r="H245" s="208"/>
      <c r="I245" s="208"/>
      <c r="J245" s="208"/>
      <c r="K245" s="208"/>
      <c r="L245" s="278"/>
      <c r="M245" s="134"/>
      <c r="N245" s="279"/>
      <c r="O245" s="156"/>
      <c r="P245" s="156"/>
      <c r="Q245" s="135"/>
      <c r="R245" s="135"/>
      <c r="S245" s="135"/>
    </row>
    <row r="246" spans="1:19" ht="126" hidden="1">
      <c r="A246" s="148" t="s">
        <v>215</v>
      </c>
      <c r="B246" s="158">
        <v>2038</v>
      </c>
      <c r="C246" s="208"/>
      <c r="D246" s="208"/>
      <c r="E246" s="208"/>
      <c r="F246" s="208"/>
      <c r="G246" s="208"/>
      <c r="H246" s="208"/>
      <c r="I246" s="208"/>
      <c r="J246" s="208"/>
      <c r="K246" s="208"/>
      <c r="L246" s="278"/>
      <c r="M246" s="134"/>
      <c r="N246" s="279"/>
      <c r="O246" s="156"/>
      <c r="P246" s="156"/>
      <c r="Q246" s="135"/>
      <c r="R246" s="135"/>
      <c r="S246" s="135"/>
    </row>
    <row r="247" spans="1:19" ht="47.25" hidden="1">
      <c r="A247" s="148" t="s">
        <v>216</v>
      </c>
      <c r="B247" s="158">
        <v>2039</v>
      </c>
      <c r="C247" s="208"/>
      <c r="D247" s="208"/>
      <c r="E247" s="208"/>
      <c r="F247" s="208"/>
      <c r="G247" s="208"/>
      <c r="H247" s="208"/>
      <c r="I247" s="208"/>
      <c r="J247" s="208"/>
      <c r="K247" s="208"/>
      <c r="L247" s="278"/>
      <c r="M247" s="134"/>
      <c r="N247" s="279"/>
      <c r="O247" s="156"/>
      <c r="P247" s="156"/>
      <c r="Q247" s="135"/>
      <c r="R247" s="135"/>
      <c r="S247" s="135"/>
    </row>
    <row r="248" spans="1:19" ht="173.25" hidden="1">
      <c r="A248" s="148" t="s">
        <v>217</v>
      </c>
      <c r="B248" s="158">
        <v>2040</v>
      </c>
      <c r="C248" s="208"/>
      <c r="D248" s="208"/>
      <c r="E248" s="208"/>
      <c r="F248" s="208"/>
      <c r="G248" s="208"/>
      <c r="H248" s="208"/>
      <c r="I248" s="208"/>
      <c r="J248" s="208"/>
      <c r="K248" s="208"/>
      <c r="L248" s="278"/>
      <c r="M248" s="134"/>
      <c r="N248" s="279"/>
      <c r="O248" s="156"/>
      <c r="P248" s="156"/>
      <c r="Q248" s="135"/>
      <c r="R248" s="135"/>
      <c r="S248" s="135"/>
    </row>
    <row r="249" spans="1:19" ht="63" hidden="1">
      <c r="A249" s="148" t="s">
        <v>218</v>
      </c>
      <c r="B249" s="158">
        <v>2041</v>
      </c>
      <c r="C249" s="208"/>
      <c r="D249" s="208"/>
      <c r="E249" s="208"/>
      <c r="F249" s="208"/>
      <c r="G249" s="208"/>
      <c r="H249" s="208"/>
      <c r="I249" s="208"/>
      <c r="J249" s="208"/>
      <c r="K249" s="208"/>
      <c r="L249" s="278"/>
      <c r="M249" s="134"/>
      <c r="N249" s="279"/>
      <c r="O249" s="156"/>
      <c r="P249" s="156"/>
      <c r="Q249" s="135"/>
      <c r="R249" s="135"/>
      <c r="S249" s="135"/>
    </row>
    <row r="250" spans="1:19" ht="31.5" hidden="1">
      <c r="A250" s="148" t="s">
        <v>75</v>
      </c>
      <c r="B250" s="158">
        <v>2042</v>
      </c>
      <c r="C250" s="208"/>
      <c r="D250" s="208"/>
      <c r="E250" s="208"/>
      <c r="F250" s="208"/>
      <c r="G250" s="208"/>
      <c r="H250" s="208"/>
      <c r="I250" s="208"/>
      <c r="J250" s="208"/>
      <c r="K250" s="208"/>
      <c r="L250" s="278"/>
      <c r="M250" s="134"/>
      <c r="N250" s="279"/>
      <c r="O250" s="156"/>
      <c r="P250" s="156"/>
      <c r="Q250" s="135"/>
      <c r="R250" s="135"/>
      <c r="S250" s="135"/>
    </row>
    <row r="251" spans="1:19" ht="110.25" hidden="1">
      <c r="A251" s="148" t="s">
        <v>219</v>
      </c>
      <c r="B251" s="158">
        <v>2043</v>
      </c>
      <c r="C251" s="208"/>
      <c r="D251" s="208"/>
      <c r="E251" s="208"/>
      <c r="F251" s="208"/>
      <c r="G251" s="208"/>
      <c r="H251" s="208"/>
      <c r="I251" s="208"/>
      <c r="J251" s="208"/>
      <c r="K251" s="208"/>
      <c r="L251" s="278"/>
      <c r="M251" s="134"/>
      <c r="N251" s="279"/>
      <c r="O251" s="156"/>
      <c r="P251" s="156"/>
      <c r="Q251" s="135"/>
      <c r="R251" s="135"/>
      <c r="S251" s="135"/>
    </row>
    <row r="252" spans="1:19" ht="31.5" hidden="1">
      <c r="A252" s="148" t="s">
        <v>220</v>
      </c>
      <c r="B252" s="158">
        <v>2044</v>
      </c>
      <c r="C252" s="208"/>
      <c r="D252" s="208"/>
      <c r="E252" s="208"/>
      <c r="F252" s="208"/>
      <c r="G252" s="208"/>
      <c r="H252" s="208"/>
      <c r="I252" s="208"/>
      <c r="J252" s="208"/>
      <c r="K252" s="208"/>
      <c r="L252" s="278"/>
      <c r="M252" s="134"/>
      <c r="N252" s="279"/>
      <c r="O252" s="156"/>
      <c r="P252" s="156"/>
      <c r="Q252" s="135"/>
      <c r="R252" s="135"/>
      <c r="S252" s="135"/>
    </row>
    <row r="253" spans="1:19" ht="94.5" hidden="1">
      <c r="A253" s="148" t="s">
        <v>80</v>
      </c>
      <c r="B253" s="158">
        <v>2045</v>
      </c>
      <c r="C253" s="208"/>
      <c r="D253" s="208"/>
      <c r="E253" s="208"/>
      <c r="F253" s="208"/>
      <c r="G253" s="208"/>
      <c r="H253" s="208"/>
      <c r="I253" s="208"/>
      <c r="J253" s="208"/>
      <c r="K253" s="208"/>
      <c r="L253" s="278"/>
      <c r="M253" s="134"/>
      <c r="N253" s="279"/>
      <c r="O253" s="156"/>
      <c r="P253" s="156"/>
      <c r="Q253" s="135"/>
      <c r="R253" s="135"/>
      <c r="S253" s="135"/>
    </row>
    <row r="254" spans="1:16" ht="141.75" hidden="1">
      <c r="A254" s="280" t="s">
        <v>179</v>
      </c>
      <c r="B254" s="281">
        <v>2100</v>
      </c>
      <c r="C254" s="210" t="s">
        <v>12</v>
      </c>
      <c r="D254" s="211" t="s">
        <v>12</v>
      </c>
      <c r="E254" s="211" t="s">
        <v>12</v>
      </c>
      <c r="F254" s="210" t="s">
        <v>12</v>
      </c>
      <c r="G254" s="211" t="s">
        <v>12</v>
      </c>
      <c r="H254" s="211" t="s">
        <v>12</v>
      </c>
      <c r="I254" s="211"/>
      <c r="J254" s="211"/>
      <c r="K254" s="211"/>
      <c r="L254" s="282" t="s">
        <v>12</v>
      </c>
      <c r="M254" s="283" t="s">
        <v>12</v>
      </c>
      <c r="N254" s="284"/>
      <c r="O254" s="285">
        <f>SUM(O255:O272)</f>
        <v>0</v>
      </c>
      <c r="P254" s="285">
        <f>SUM(P255:P272)</f>
        <v>0</v>
      </c>
    </row>
    <row r="255" spans="1:16" ht="31.5" hidden="1">
      <c r="A255" s="286" t="s">
        <v>109</v>
      </c>
      <c r="B255" s="287">
        <v>2101</v>
      </c>
      <c r="C255" s="208"/>
      <c r="D255" s="208"/>
      <c r="E255" s="208"/>
      <c r="F255" s="208"/>
      <c r="G255" s="208"/>
      <c r="H255" s="208"/>
      <c r="I255" s="208"/>
      <c r="J255" s="208"/>
      <c r="K255" s="208"/>
      <c r="L255" s="288"/>
      <c r="M255" s="289"/>
      <c r="N255" s="290"/>
      <c r="O255" s="291"/>
      <c r="P255" s="291"/>
    </row>
    <row r="256" spans="1:16" ht="31.5" hidden="1">
      <c r="A256" s="286" t="s">
        <v>110</v>
      </c>
      <c r="B256" s="287">
        <v>2102</v>
      </c>
      <c r="C256" s="208"/>
      <c r="D256" s="208"/>
      <c r="E256" s="208"/>
      <c r="F256" s="208"/>
      <c r="G256" s="208"/>
      <c r="H256" s="208"/>
      <c r="I256" s="208"/>
      <c r="J256" s="208"/>
      <c r="K256" s="208"/>
      <c r="L256" s="288"/>
      <c r="M256" s="289"/>
      <c r="N256" s="290"/>
      <c r="O256" s="291"/>
      <c r="P256" s="291"/>
    </row>
    <row r="257" spans="1:16" ht="63" hidden="1">
      <c r="A257" s="286" t="s">
        <v>111</v>
      </c>
      <c r="B257" s="287">
        <v>2103</v>
      </c>
      <c r="C257" s="208"/>
      <c r="D257" s="208"/>
      <c r="E257" s="208"/>
      <c r="F257" s="208"/>
      <c r="G257" s="208"/>
      <c r="H257" s="208"/>
      <c r="I257" s="208"/>
      <c r="J257" s="208"/>
      <c r="K257" s="208"/>
      <c r="L257" s="288"/>
      <c r="M257" s="289"/>
      <c r="N257" s="290"/>
      <c r="O257" s="291"/>
      <c r="P257" s="291"/>
    </row>
    <row r="258" spans="1:16" ht="31.5" hidden="1">
      <c r="A258" s="286" t="s">
        <v>112</v>
      </c>
      <c r="B258" s="287">
        <v>2104</v>
      </c>
      <c r="C258" s="208"/>
      <c r="D258" s="208"/>
      <c r="E258" s="208"/>
      <c r="F258" s="208"/>
      <c r="G258" s="208"/>
      <c r="H258" s="208"/>
      <c r="I258" s="208"/>
      <c r="J258" s="208"/>
      <c r="K258" s="208"/>
      <c r="L258" s="288"/>
      <c r="M258" s="289"/>
      <c r="N258" s="290"/>
      <c r="O258" s="291"/>
      <c r="P258" s="291"/>
    </row>
    <row r="259" spans="1:16" ht="157.5" hidden="1">
      <c r="A259" s="286" t="s">
        <v>113</v>
      </c>
      <c r="B259" s="287">
        <v>2105</v>
      </c>
      <c r="C259" s="208"/>
      <c r="D259" s="208"/>
      <c r="E259" s="208"/>
      <c r="F259" s="208"/>
      <c r="G259" s="208"/>
      <c r="H259" s="208"/>
      <c r="I259" s="208"/>
      <c r="J259" s="208"/>
      <c r="K259" s="208"/>
      <c r="L259" s="288"/>
      <c r="M259" s="289"/>
      <c r="N259" s="290"/>
      <c r="O259" s="291"/>
      <c r="P259" s="291"/>
    </row>
    <row r="260" spans="1:16" ht="94.5" hidden="1">
      <c r="A260" s="286" t="s">
        <v>114</v>
      </c>
      <c r="B260" s="287">
        <v>2106</v>
      </c>
      <c r="C260" s="208"/>
      <c r="D260" s="208"/>
      <c r="E260" s="208"/>
      <c r="F260" s="208"/>
      <c r="G260" s="208"/>
      <c r="H260" s="208"/>
      <c r="I260" s="208"/>
      <c r="J260" s="208"/>
      <c r="K260" s="208"/>
      <c r="L260" s="288"/>
      <c r="M260" s="289"/>
      <c r="N260" s="290"/>
      <c r="O260" s="291"/>
      <c r="P260" s="291"/>
    </row>
    <row r="261" spans="1:16" ht="110.25" hidden="1">
      <c r="A261" s="286" t="s">
        <v>115</v>
      </c>
      <c r="B261" s="287">
        <v>2107</v>
      </c>
      <c r="C261" s="208"/>
      <c r="D261" s="208"/>
      <c r="E261" s="208"/>
      <c r="F261" s="208"/>
      <c r="G261" s="208"/>
      <c r="H261" s="208"/>
      <c r="I261" s="208"/>
      <c r="J261" s="208"/>
      <c r="K261" s="208"/>
      <c r="L261" s="288"/>
      <c r="M261" s="289"/>
      <c r="N261" s="290"/>
      <c r="O261" s="291"/>
      <c r="P261" s="291"/>
    </row>
    <row r="262" spans="1:16" ht="63" hidden="1">
      <c r="A262" s="286" t="s">
        <v>116</v>
      </c>
      <c r="B262" s="287">
        <v>2108</v>
      </c>
      <c r="C262" s="208"/>
      <c r="D262" s="208"/>
      <c r="E262" s="208"/>
      <c r="F262" s="208"/>
      <c r="G262" s="208"/>
      <c r="H262" s="208"/>
      <c r="I262" s="208"/>
      <c r="J262" s="208"/>
      <c r="K262" s="208"/>
      <c r="L262" s="288"/>
      <c r="M262" s="289"/>
      <c r="N262" s="290"/>
      <c r="O262" s="291"/>
      <c r="P262" s="291"/>
    </row>
    <row r="263" spans="1:16" ht="63" hidden="1">
      <c r="A263" s="286" t="s">
        <v>117</v>
      </c>
      <c r="B263" s="287">
        <v>2109</v>
      </c>
      <c r="C263" s="208"/>
      <c r="D263" s="208"/>
      <c r="E263" s="208"/>
      <c r="F263" s="208"/>
      <c r="G263" s="208"/>
      <c r="H263" s="208"/>
      <c r="I263" s="208"/>
      <c r="J263" s="208"/>
      <c r="K263" s="208"/>
      <c r="L263" s="288"/>
      <c r="M263" s="289"/>
      <c r="N263" s="290"/>
      <c r="O263" s="291"/>
      <c r="P263" s="291"/>
    </row>
    <row r="264" spans="1:16" ht="173.25" hidden="1">
      <c r="A264" s="286" t="s">
        <v>118</v>
      </c>
      <c r="B264" s="287">
        <v>2110</v>
      </c>
      <c r="C264" s="208"/>
      <c r="D264" s="208"/>
      <c r="E264" s="208"/>
      <c r="F264" s="208"/>
      <c r="G264" s="208"/>
      <c r="H264" s="208"/>
      <c r="I264" s="208"/>
      <c r="J264" s="208"/>
      <c r="K264" s="208"/>
      <c r="L264" s="288"/>
      <c r="M264" s="289"/>
      <c r="N264" s="290"/>
      <c r="O264" s="291"/>
      <c r="P264" s="291"/>
    </row>
    <row r="265" spans="1:16" ht="189" hidden="1">
      <c r="A265" s="286" t="s">
        <v>119</v>
      </c>
      <c r="B265" s="287">
        <v>2111</v>
      </c>
      <c r="C265" s="208"/>
      <c r="D265" s="208"/>
      <c r="E265" s="208"/>
      <c r="F265" s="208"/>
      <c r="G265" s="208"/>
      <c r="H265" s="208"/>
      <c r="I265" s="208"/>
      <c r="J265" s="208"/>
      <c r="K265" s="208"/>
      <c r="L265" s="288"/>
      <c r="M265" s="289"/>
      <c r="N265" s="290"/>
      <c r="O265" s="291"/>
      <c r="P265" s="291"/>
    </row>
    <row r="266" spans="1:16" ht="173.25" hidden="1">
      <c r="A266" s="286" t="s">
        <v>120</v>
      </c>
      <c r="B266" s="287">
        <v>2112</v>
      </c>
      <c r="C266" s="208"/>
      <c r="D266" s="208"/>
      <c r="E266" s="208"/>
      <c r="F266" s="208"/>
      <c r="G266" s="208"/>
      <c r="H266" s="208"/>
      <c r="I266" s="208"/>
      <c r="J266" s="208"/>
      <c r="K266" s="208"/>
      <c r="L266" s="288"/>
      <c r="M266" s="289"/>
      <c r="N266" s="290"/>
      <c r="O266" s="291"/>
      <c r="P266" s="291"/>
    </row>
    <row r="267" spans="1:16" ht="189" hidden="1">
      <c r="A267" s="286" t="s">
        <v>121</v>
      </c>
      <c r="B267" s="287">
        <v>2113</v>
      </c>
      <c r="C267" s="208"/>
      <c r="D267" s="208"/>
      <c r="E267" s="208"/>
      <c r="F267" s="208"/>
      <c r="G267" s="208"/>
      <c r="H267" s="208"/>
      <c r="I267" s="208"/>
      <c r="J267" s="208"/>
      <c r="K267" s="208"/>
      <c r="L267" s="288"/>
      <c r="M267" s="289"/>
      <c r="N267" s="290"/>
      <c r="O267" s="291"/>
      <c r="P267" s="291"/>
    </row>
    <row r="268" spans="1:16" ht="47.25" hidden="1">
      <c r="A268" s="286" t="s">
        <v>122</v>
      </c>
      <c r="B268" s="287">
        <v>2114</v>
      </c>
      <c r="C268" s="208"/>
      <c r="D268" s="208"/>
      <c r="E268" s="208"/>
      <c r="F268" s="208"/>
      <c r="G268" s="208"/>
      <c r="H268" s="208"/>
      <c r="I268" s="208"/>
      <c r="J268" s="208"/>
      <c r="K268" s="208"/>
      <c r="L268" s="288"/>
      <c r="M268" s="289"/>
      <c r="N268" s="290"/>
      <c r="O268" s="291"/>
      <c r="P268" s="291"/>
    </row>
    <row r="269" spans="1:16" ht="236.25" hidden="1">
      <c r="A269" s="286" t="s">
        <v>123</v>
      </c>
      <c r="B269" s="287">
        <v>2115</v>
      </c>
      <c r="C269" s="208"/>
      <c r="D269" s="208"/>
      <c r="E269" s="208"/>
      <c r="F269" s="208"/>
      <c r="G269" s="208"/>
      <c r="H269" s="208"/>
      <c r="I269" s="208"/>
      <c r="J269" s="208"/>
      <c r="K269" s="208"/>
      <c r="L269" s="288"/>
      <c r="M269" s="289"/>
      <c r="N269" s="290"/>
      <c r="O269" s="291"/>
      <c r="P269" s="291"/>
    </row>
    <row r="270" spans="1:16" ht="204.75" hidden="1">
      <c r="A270" s="286" t="s">
        <v>124</v>
      </c>
      <c r="B270" s="287">
        <v>2116</v>
      </c>
      <c r="C270" s="208"/>
      <c r="D270" s="208"/>
      <c r="E270" s="208"/>
      <c r="F270" s="208"/>
      <c r="G270" s="208"/>
      <c r="H270" s="208"/>
      <c r="I270" s="208"/>
      <c r="J270" s="208"/>
      <c r="K270" s="208"/>
      <c r="L270" s="288"/>
      <c r="M270" s="289"/>
      <c r="N270" s="290"/>
      <c r="O270" s="291"/>
      <c r="P270" s="291"/>
    </row>
    <row r="271" spans="1:16" ht="15.75" hidden="1">
      <c r="A271" s="286" t="s">
        <v>13</v>
      </c>
      <c r="B271" s="287">
        <v>2117</v>
      </c>
      <c r="C271" s="202"/>
      <c r="D271" s="216"/>
      <c r="E271" s="216"/>
      <c r="F271" s="202"/>
      <c r="G271" s="216"/>
      <c r="H271" s="216"/>
      <c r="I271" s="216"/>
      <c r="J271" s="216"/>
      <c r="K271" s="216"/>
      <c r="L271" s="292"/>
      <c r="M271" s="293"/>
      <c r="N271" s="290"/>
      <c r="O271" s="291"/>
      <c r="P271" s="291"/>
    </row>
    <row r="272" spans="1:16" ht="15.75" hidden="1">
      <c r="A272" s="286" t="s">
        <v>13</v>
      </c>
      <c r="B272" s="287">
        <v>2118</v>
      </c>
      <c r="C272" s="202"/>
      <c r="D272" s="216"/>
      <c r="E272" s="216"/>
      <c r="F272" s="202"/>
      <c r="G272" s="216"/>
      <c r="H272" s="216"/>
      <c r="I272" s="216"/>
      <c r="J272" s="216"/>
      <c r="K272" s="216"/>
      <c r="L272" s="292"/>
      <c r="M272" s="293"/>
      <c r="N272" s="290"/>
      <c r="O272" s="291"/>
      <c r="P272" s="291"/>
    </row>
    <row r="273" spans="1:16" ht="141.75" hidden="1">
      <c r="A273" s="294" t="s">
        <v>24</v>
      </c>
      <c r="B273" s="295">
        <v>2200</v>
      </c>
      <c r="C273" s="210" t="s">
        <v>12</v>
      </c>
      <c r="D273" s="211" t="s">
        <v>12</v>
      </c>
      <c r="E273" s="211" t="s">
        <v>12</v>
      </c>
      <c r="F273" s="210" t="s">
        <v>12</v>
      </c>
      <c r="G273" s="211" t="s">
        <v>12</v>
      </c>
      <c r="H273" s="211" t="s">
        <v>12</v>
      </c>
      <c r="I273" s="211"/>
      <c r="J273" s="211"/>
      <c r="K273" s="211"/>
      <c r="L273" s="296" t="s">
        <v>12</v>
      </c>
      <c r="M273" s="297" t="s">
        <v>12</v>
      </c>
      <c r="N273" s="298"/>
      <c r="O273" s="299">
        <f>O274+O288+O291</f>
        <v>0</v>
      </c>
      <c r="P273" s="299">
        <f>P274+P288+P291</f>
        <v>0</v>
      </c>
    </row>
    <row r="274" spans="1:16" ht="78.75" hidden="1">
      <c r="A274" s="294" t="s">
        <v>180</v>
      </c>
      <c r="B274" s="295">
        <v>2201</v>
      </c>
      <c r="C274" s="210" t="s">
        <v>12</v>
      </c>
      <c r="D274" s="211" t="s">
        <v>12</v>
      </c>
      <c r="E274" s="211" t="s">
        <v>12</v>
      </c>
      <c r="F274" s="210" t="s">
        <v>12</v>
      </c>
      <c r="G274" s="211" t="s">
        <v>12</v>
      </c>
      <c r="H274" s="211" t="s">
        <v>12</v>
      </c>
      <c r="I274" s="211"/>
      <c r="J274" s="211"/>
      <c r="K274" s="211"/>
      <c r="L274" s="296" t="s">
        <v>12</v>
      </c>
      <c r="M274" s="297" t="s">
        <v>12</v>
      </c>
      <c r="N274" s="298"/>
      <c r="O274" s="299">
        <f>SUM(O275:O287)</f>
        <v>0</v>
      </c>
      <c r="P274" s="299">
        <f>SUM(P275:P287)</f>
        <v>0</v>
      </c>
    </row>
    <row r="275" spans="1:16" ht="15.75" hidden="1">
      <c r="A275" s="286" t="s">
        <v>221</v>
      </c>
      <c r="B275" s="287">
        <v>2202</v>
      </c>
      <c r="C275" s="208"/>
      <c r="D275" s="208"/>
      <c r="E275" s="208"/>
      <c r="F275" s="208"/>
      <c r="G275" s="208"/>
      <c r="H275" s="208"/>
      <c r="I275" s="208"/>
      <c r="J275" s="208"/>
      <c r="K275" s="208"/>
      <c r="L275" s="288"/>
      <c r="M275" s="289"/>
      <c r="N275" s="290"/>
      <c r="O275" s="291"/>
      <c r="P275" s="291"/>
    </row>
    <row r="276" spans="1:16" ht="31.5" hidden="1">
      <c r="A276" s="286" t="s">
        <v>222</v>
      </c>
      <c r="B276" s="287">
        <v>2203</v>
      </c>
      <c r="C276" s="208"/>
      <c r="D276" s="208"/>
      <c r="E276" s="208"/>
      <c r="F276" s="208"/>
      <c r="G276" s="208"/>
      <c r="H276" s="208"/>
      <c r="I276" s="208"/>
      <c r="J276" s="208"/>
      <c r="K276" s="208"/>
      <c r="L276" s="288"/>
      <c r="M276" s="289"/>
      <c r="N276" s="290"/>
      <c r="O276" s="291"/>
      <c r="P276" s="291"/>
    </row>
    <row r="277" spans="1:16" ht="31.5" hidden="1">
      <c r="A277" s="286" t="s">
        <v>126</v>
      </c>
      <c r="B277" s="287">
        <v>2204</v>
      </c>
      <c r="C277" s="208"/>
      <c r="D277" s="208"/>
      <c r="E277" s="208"/>
      <c r="F277" s="208"/>
      <c r="G277" s="208"/>
      <c r="H277" s="208"/>
      <c r="I277" s="208"/>
      <c r="J277" s="208"/>
      <c r="K277" s="208"/>
      <c r="L277" s="288"/>
      <c r="M277" s="289"/>
      <c r="N277" s="290"/>
      <c r="O277" s="291"/>
      <c r="P277" s="291"/>
    </row>
    <row r="278" spans="1:16" ht="78.75" hidden="1">
      <c r="A278" s="286" t="s">
        <v>223</v>
      </c>
      <c r="B278" s="287">
        <v>2205</v>
      </c>
      <c r="C278" s="208"/>
      <c r="D278" s="208"/>
      <c r="E278" s="208"/>
      <c r="F278" s="208"/>
      <c r="G278" s="208"/>
      <c r="H278" s="208"/>
      <c r="I278" s="208"/>
      <c r="J278" s="208"/>
      <c r="K278" s="208"/>
      <c r="L278" s="288"/>
      <c r="M278" s="289"/>
      <c r="N278" s="290"/>
      <c r="O278" s="291"/>
      <c r="P278" s="291"/>
    </row>
    <row r="279" spans="1:16" ht="78.75" hidden="1">
      <c r="A279" s="286" t="s">
        <v>224</v>
      </c>
      <c r="B279" s="287">
        <v>2206</v>
      </c>
      <c r="C279" s="208"/>
      <c r="D279" s="208"/>
      <c r="E279" s="208"/>
      <c r="F279" s="208"/>
      <c r="G279" s="208"/>
      <c r="H279" s="208"/>
      <c r="I279" s="208"/>
      <c r="J279" s="208"/>
      <c r="K279" s="208"/>
      <c r="L279" s="288"/>
      <c r="M279" s="289"/>
      <c r="N279" s="290"/>
      <c r="O279" s="291"/>
      <c r="P279" s="291"/>
    </row>
    <row r="280" spans="1:16" ht="31.5" hidden="1">
      <c r="A280" s="286" t="s">
        <v>225</v>
      </c>
      <c r="B280" s="287">
        <v>2207</v>
      </c>
      <c r="C280" s="208"/>
      <c r="D280" s="208"/>
      <c r="E280" s="208"/>
      <c r="F280" s="208"/>
      <c r="G280" s="208"/>
      <c r="H280" s="208"/>
      <c r="I280" s="208"/>
      <c r="J280" s="208"/>
      <c r="K280" s="208"/>
      <c r="L280" s="288"/>
      <c r="M280" s="289"/>
      <c r="N280" s="290"/>
      <c r="O280" s="291"/>
      <c r="P280" s="291"/>
    </row>
    <row r="281" spans="1:16" ht="15.75" hidden="1">
      <c r="A281" s="286" t="s">
        <v>130</v>
      </c>
      <c r="B281" s="287">
        <v>2208</v>
      </c>
      <c r="C281" s="208"/>
      <c r="D281" s="208"/>
      <c r="E281" s="208"/>
      <c r="F281" s="208"/>
      <c r="G281" s="208"/>
      <c r="H281" s="208"/>
      <c r="I281" s="208"/>
      <c r="J281" s="208"/>
      <c r="K281" s="208"/>
      <c r="L281" s="288"/>
      <c r="M281" s="289"/>
      <c r="N281" s="290"/>
      <c r="O281" s="291"/>
      <c r="P281" s="291"/>
    </row>
    <row r="282" spans="1:16" ht="94.5" hidden="1">
      <c r="A282" s="286" t="s">
        <v>131</v>
      </c>
      <c r="B282" s="287">
        <v>2209</v>
      </c>
      <c r="C282" s="208"/>
      <c r="D282" s="208"/>
      <c r="E282" s="208"/>
      <c r="F282" s="208"/>
      <c r="G282" s="208"/>
      <c r="H282" s="208"/>
      <c r="I282" s="208"/>
      <c r="J282" s="208"/>
      <c r="K282" s="208"/>
      <c r="L282" s="288"/>
      <c r="M282" s="289"/>
      <c r="N282" s="290"/>
      <c r="O282" s="291"/>
      <c r="P282" s="291"/>
    </row>
    <row r="283" spans="1:16" ht="126" hidden="1">
      <c r="A283" s="286" t="s">
        <v>132</v>
      </c>
      <c r="B283" s="287">
        <v>2210</v>
      </c>
      <c r="C283" s="208"/>
      <c r="D283" s="208"/>
      <c r="E283" s="208"/>
      <c r="F283" s="208"/>
      <c r="G283" s="208"/>
      <c r="H283" s="208"/>
      <c r="I283" s="208"/>
      <c r="J283" s="208"/>
      <c r="K283" s="208"/>
      <c r="L283" s="288"/>
      <c r="M283" s="289"/>
      <c r="N283" s="290"/>
      <c r="O283" s="291"/>
      <c r="P283" s="291"/>
    </row>
    <row r="284" spans="1:16" ht="47.25" hidden="1">
      <c r="A284" s="286" t="s">
        <v>133</v>
      </c>
      <c r="B284" s="287">
        <v>2211</v>
      </c>
      <c r="C284" s="208"/>
      <c r="D284" s="208"/>
      <c r="E284" s="208"/>
      <c r="F284" s="208"/>
      <c r="G284" s="208"/>
      <c r="H284" s="208"/>
      <c r="I284" s="208"/>
      <c r="J284" s="208"/>
      <c r="K284" s="208"/>
      <c r="L284" s="288"/>
      <c r="M284" s="289"/>
      <c r="N284" s="290"/>
      <c r="O284" s="291"/>
      <c r="P284" s="291"/>
    </row>
    <row r="285" spans="1:16" ht="78.75" hidden="1">
      <c r="A285" s="286" t="s">
        <v>135</v>
      </c>
      <c r="B285" s="287">
        <v>2212</v>
      </c>
      <c r="C285" s="208"/>
      <c r="D285" s="208"/>
      <c r="E285" s="208"/>
      <c r="F285" s="208"/>
      <c r="G285" s="208"/>
      <c r="H285" s="208"/>
      <c r="I285" s="208"/>
      <c r="J285" s="208"/>
      <c r="K285" s="208"/>
      <c r="L285" s="288"/>
      <c r="M285" s="289"/>
      <c r="N285" s="290"/>
      <c r="O285" s="291"/>
      <c r="P285" s="291"/>
    </row>
    <row r="286" spans="1:16" ht="94.5" hidden="1">
      <c r="A286" s="286" t="s">
        <v>226</v>
      </c>
      <c r="B286" s="287">
        <v>2213</v>
      </c>
      <c r="C286" s="208"/>
      <c r="D286" s="208"/>
      <c r="E286" s="208"/>
      <c r="F286" s="208"/>
      <c r="G286" s="208"/>
      <c r="H286" s="208"/>
      <c r="I286" s="208"/>
      <c r="J286" s="208"/>
      <c r="K286" s="208"/>
      <c r="L286" s="288"/>
      <c r="M286" s="289"/>
      <c r="N286" s="290"/>
      <c r="O286" s="291"/>
      <c r="P286" s="291"/>
    </row>
    <row r="287" spans="1:16" ht="63" hidden="1">
      <c r="A287" s="286" t="s">
        <v>227</v>
      </c>
      <c r="B287" s="287">
        <v>2214</v>
      </c>
      <c r="C287" s="208"/>
      <c r="D287" s="208"/>
      <c r="E287" s="208"/>
      <c r="F287" s="208"/>
      <c r="G287" s="208"/>
      <c r="H287" s="208"/>
      <c r="I287" s="208"/>
      <c r="J287" s="208"/>
      <c r="K287" s="208"/>
      <c r="L287" s="288"/>
      <c r="M287" s="289"/>
      <c r="N287" s="290"/>
      <c r="O287" s="291"/>
      <c r="P287" s="291"/>
    </row>
    <row r="288" spans="1:16" ht="141.75" hidden="1">
      <c r="A288" s="294" t="s">
        <v>228</v>
      </c>
      <c r="B288" s="295">
        <v>2300</v>
      </c>
      <c r="C288" s="210" t="s">
        <v>12</v>
      </c>
      <c r="D288" s="211" t="s">
        <v>12</v>
      </c>
      <c r="E288" s="211" t="s">
        <v>12</v>
      </c>
      <c r="F288" s="210" t="s">
        <v>12</v>
      </c>
      <c r="G288" s="211" t="s">
        <v>12</v>
      </c>
      <c r="H288" s="211" t="s">
        <v>12</v>
      </c>
      <c r="I288" s="211"/>
      <c r="J288" s="211"/>
      <c r="K288" s="211"/>
      <c r="L288" s="296" t="s">
        <v>12</v>
      </c>
      <c r="M288" s="297" t="s">
        <v>12</v>
      </c>
      <c r="N288" s="298"/>
      <c r="O288" s="299">
        <f>SUM(O289:O290)</f>
        <v>0</v>
      </c>
      <c r="P288" s="299">
        <f>SUM(P289:P290)</f>
        <v>0</v>
      </c>
    </row>
    <row r="289" spans="1:16" ht="15.75" hidden="1">
      <c r="A289" s="286" t="s">
        <v>13</v>
      </c>
      <c r="B289" s="287">
        <v>2301</v>
      </c>
      <c r="C289" s="202"/>
      <c r="D289" s="216"/>
      <c r="E289" s="216"/>
      <c r="F289" s="202"/>
      <c r="G289" s="216"/>
      <c r="H289" s="216"/>
      <c r="I289" s="216"/>
      <c r="J289" s="216"/>
      <c r="K289" s="216"/>
      <c r="L289" s="292"/>
      <c r="M289" s="293"/>
      <c r="N289" s="290"/>
      <c r="O289" s="291"/>
      <c r="P289" s="291"/>
    </row>
    <row r="290" spans="1:16" ht="15.75" hidden="1">
      <c r="A290" s="286" t="s">
        <v>13</v>
      </c>
      <c r="B290" s="287">
        <v>2302</v>
      </c>
      <c r="C290" s="202"/>
      <c r="D290" s="216"/>
      <c r="E290" s="216"/>
      <c r="F290" s="202"/>
      <c r="G290" s="216"/>
      <c r="H290" s="216"/>
      <c r="I290" s="216"/>
      <c r="J290" s="216"/>
      <c r="K290" s="216"/>
      <c r="L290" s="292"/>
      <c r="M290" s="293"/>
      <c r="N290" s="290"/>
      <c r="O290" s="291"/>
      <c r="P290" s="291"/>
    </row>
    <row r="291" spans="1:16" ht="126" hidden="1">
      <c r="A291" s="294" t="s">
        <v>229</v>
      </c>
      <c r="B291" s="295">
        <v>2400</v>
      </c>
      <c r="C291" s="210" t="s">
        <v>12</v>
      </c>
      <c r="D291" s="211" t="s">
        <v>12</v>
      </c>
      <c r="E291" s="211" t="s">
        <v>12</v>
      </c>
      <c r="F291" s="210" t="s">
        <v>12</v>
      </c>
      <c r="G291" s="211" t="s">
        <v>12</v>
      </c>
      <c r="H291" s="211" t="s">
        <v>12</v>
      </c>
      <c r="I291" s="211"/>
      <c r="J291" s="211"/>
      <c r="K291" s="211"/>
      <c r="L291" s="296" t="s">
        <v>12</v>
      </c>
      <c r="M291" s="297" t="s">
        <v>12</v>
      </c>
      <c r="N291" s="298"/>
      <c r="O291" s="299">
        <f>SUM(O292:O293)</f>
        <v>0</v>
      </c>
      <c r="P291" s="299">
        <f>SUM(P292:P293)</f>
        <v>0</v>
      </c>
    </row>
    <row r="292" spans="1:16" ht="15.75" hidden="1">
      <c r="A292" s="286" t="s">
        <v>13</v>
      </c>
      <c r="B292" s="287">
        <v>2401</v>
      </c>
      <c r="C292" s="202"/>
      <c r="D292" s="216"/>
      <c r="E292" s="216"/>
      <c r="F292" s="202"/>
      <c r="G292" s="216"/>
      <c r="H292" s="216"/>
      <c r="I292" s="216"/>
      <c r="J292" s="216"/>
      <c r="K292" s="216"/>
      <c r="L292" s="292"/>
      <c r="M292" s="293"/>
      <c r="N292" s="290"/>
      <c r="O292" s="291"/>
      <c r="P292" s="291"/>
    </row>
    <row r="293" spans="1:16" ht="15.75" hidden="1">
      <c r="A293" s="286" t="s">
        <v>13</v>
      </c>
      <c r="B293" s="287">
        <v>2402</v>
      </c>
      <c r="C293" s="202"/>
      <c r="D293" s="216"/>
      <c r="E293" s="216"/>
      <c r="F293" s="202"/>
      <c r="G293" s="216"/>
      <c r="H293" s="216"/>
      <c r="I293" s="216"/>
      <c r="J293" s="216"/>
      <c r="K293" s="216"/>
      <c r="L293" s="292"/>
      <c r="M293" s="293"/>
      <c r="N293" s="290"/>
      <c r="O293" s="291"/>
      <c r="P293" s="291"/>
    </row>
    <row r="294" spans="1:16" ht="173.25" hidden="1">
      <c r="A294" s="294" t="s">
        <v>25</v>
      </c>
      <c r="B294" s="295">
        <v>2500</v>
      </c>
      <c r="C294" s="210" t="s">
        <v>12</v>
      </c>
      <c r="D294" s="211" t="s">
        <v>12</v>
      </c>
      <c r="E294" s="211" t="s">
        <v>12</v>
      </c>
      <c r="F294" s="210" t="s">
        <v>12</v>
      </c>
      <c r="G294" s="211" t="s">
        <v>12</v>
      </c>
      <c r="H294" s="211" t="s">
        <v>12</v>
      </c>
      <c r="I294" s="211"/>
      <c r="J294" s="211"/>
      <c r="K294" s="211"/>
      <c r="L294" s="296" t="s">
        <v>12</v>
      </c>
      <c r="M294" s="297" t="s">
        <v>12</v>
      </c>
      <c r="N294" s="298"/>
      <c r="O294" s="299">
        <f>O295+O333</f>
        <v>0</v>
      </c>
      <c r="P294" s="299">
        <f>P295+P333</f>
        <v>0</v>
      </c>
    </row>
    <row r="295" spans="1:16" ht="63" hidden="1">
      <c r="A295" s="294" t="s">
        <v>230</v>
      </c>
      <c r="B295" s="295">
        <v>2501</v>
      </c>
      <c r="C295" s="210" t="s">
        <v>12</v>
      </c>
      <c r="D295" s="211" t="s">
        <v>12</v>
      </c>
      <c r="E295" s="211" t="s">
        <v>12</v>
      </c>
      <c r="F295" s="210" t="s">
        <v>12</v>
      </c>
      <c r="G295" s="211" t="s">
        <v>12</v>
      </c>
      <c r="H295" s="211" t="s">
        <v>12</v>
      </c>
      <c r="I295" s="211"/>
      <c r="J295" s="211"/>
      <c r="K295" s="211"/>
      <c r="L295" s="296" t="s">
        <v>12</v>
      </c>
      <c r="M295" s="297" t="s">
        <v>12</v>
      </c>
      <c r="N295" s="298"/>
      <c r="O295" s="299">
        <f>SUM(O296:O332)</f>
        <v>0</v>
      </c>
      <c r="P295" s="299">
        <f>SUM(P296:P332)</f>
        <v>0</v>
      </c>
    </row>
    <row r="296" spans="1:16" ht="78.75" hidden="1">
      <c r="A296" s="286" t="s">
        <v>141</v>
      </c>
      <c r="B296" s="287">
        <v>2502</v>
      </c>
      <c r="C296" s="202"/>
      <c r="D296" s="216"/>
      <c r="E296" s="216"/>
      <c r="F296" s="202"/>
      <c r="G296" s="216"/>
      <c r="H296" s="216"/>
      <c r="I296" s="216"/>
      <c r="J296" s="216"/>
      <c r="K296" s="216"/>
      <c r="L296" s="292"/>
      <c r="M296" s="293"/>
      <c r="N296" s="290"/>
      <c r="O296" s="291"/>
      <c r="P296" s="291"/>
    </row>
    <row r="297" spans="1:16" ht="78.75" hidden="1">
      <c r="A297" s="286" t="s">
        <v>142</v>
      </c>
      <c r="B297" s="287">
        <v>2503</v>
      </c>
      <c r="C297" s="202"/>
      <c r="D297" s="216"/>
      <c r="E297" s="216"/>
      <c r="F297" s="202"/>
      <c r="G297" s="216"/>
      <c r="H297" s="216"/>
      <c r="I297" s="216"/>
      <c r="J297" s="216"/>
      <c r="K297" s="216"/>
      <c r="L297" s="292"/>
      <c r="M297" s="293"/>
      <c r="N297" s="290"/>
      <c r="O297" s="291"/>
      <c r="P297" s="291"/>
    </row>
    <row r="298" spans="1:16" ht="94.5" hidden="1">
      <c r="A298" s="286" t="s">
        <v>143</v>
      </c>
      <c r="B298" s="287">
        <v>2504</v>
      </c>
      <c r="C298" s="202"/>
      <c r="D298" s="216"/>
      <c r="E298" s="216"/>
      <c r="F298" s="202"/>
      <c r="G298" s="216"/>
      <c r="H298" s="216"/>
      <c r="I298" s="216"/>
      <c r="J298" s="216"/>
      <c r="K298" s="216"/>
      <c r="L298" s="292"/>
      <c r="M298" s="293"/>
      <c r="N298" s="290"/>
      <c r="O298" s="291"/>
      <c r="P298" s="291"/>
    </row>
    <row r="299" spans="1:16" ht="78.75" hidden="1">
      <c r="A299" s="286" t="s">
        <v>144</v>
      </c>
      <c r="B299" s="287">
        <v>2505</v>
      </c>
      <c r="C299" s="202"/>
      <c r="D299" s="216"/>
      <c r="E299" s="216"/>
      <c r="F299" s="202"/>
      <c r="G299" s="216"/>
      <c r="H299" s="216"/>
      <c r="I299" s="216"/>
      <c r="J299" s="216"/>
      <c r="K299" s="216"/>
      <c r="L299" s="292"/>
      <c r="M299" s="293"/>
      <c r="N299" s="290"/>
      <c r="O299" s="291"/>
      <c r="P299" s="291"/>
    </row>
    <row r="300" spans="1:16" ht="47.25" hidden="1">
      <c r="A300" s="286" t="s">
        <v>145</v>
      </c>
      <c r="B300" s="287">
        <v>2506</v>
      </c>
      <c r="C300" s="202"/>
      <c r="D300" s="216"/>
      <c r="E300" s="216"/>
      <c r="F300" s="202"/>
      <c r="G300" s="216"/>
      <c r="H300" s="216"/>
      <c r="I300" s="216"/>
      <c r="J300" s="216"/>
      <c r="K300" s="216"/>
      <c r="L300" s="292"/>
      <c r="M300" s="293"/>
      <c r="N300" s="290"/>
      <c r="O300" s="291"/>
      <c r="P300" s="291"/>
    </row>
    <row r="301" spans="1:16" ht="31.5" hidden="1">
      <c r="A301" s="286" t="s">
        <v>146</v>
      </c>
      <c r="B301" s="287">
        <v>2507</v>
      </c>
      <c r="C301" s="202"/>
      <c r="D301" s="216"/>
      <c r="E301" s="216"/>
      <c r="F301" s="202"/>
      <c r="G301" s="216"/>
      <c r="H301" s="216"/>
      <c r="I301" s="216"/>
      <c r="J301" s="216"/>
      <c r="K301" s="216"/>
      <c r="L301" s="292"/>
      <c r="M301" s="293"/>
      <c r="N301" s="290"/>
      <c r="O301" s="291"/>
      <c r="P301" s="291"/>
    </row>
    <row r="302" spans="1:16" ht="47.25" hidden="1">
      <c r="A302" s="286" t="s">
        <v>147</v>
      </c>
      <c r="B302" s="287">
        <v>2508</v>
      </c>
      <c r="C302" s="202"/>
      <c r="D302" s="216"/>
      <c r="E302" s="216"/>
      <c r="F302" s="202"/>
      <c r="G302" s="216"/>
      <c r="H302" s="216"/>
      <c r="I302" s="216"/>
      <c r="J302" s="216"/>
      <c r="K302" s="216"/>
      <c r="L302" s="292"/>
      <c r="M302" s="293"/>
      <c r="N302" s="290"/>
      <c r="O302" s="291"/>
      <c r="P302" s="291"/>
    </row>
    <row r="303" spans="1:16" ht="47.25" hidden="1">
      <c r="A303" s="286" t="s">
        <v>148</v>
      </c>
      <c r="B303" s="287">
        <v>2509</v>
      </c>
      <c r="C303" s="202"/>
      <c r="D303" s="216"/>
      <c r="E303" s="216"/>
      <c r="F303" s="202"/>
      <c r="G303" s="216"/>
      <c r="H303" s="216"/>
      <c r="I303" s="216"/>
      <c r="J303" s="216"/>
      <c r="K303" s="216"/>
      <c r="L303" s="292"/>
      <c r="M303" s="293"/>
      <c r="N303" s="290"/>
      <c r="O303" s="291"/>
      <c r="P303" s="291"/>
    </row>
    <row r="304" spans="1:16" ht="31.5" hidden="1">
      <c r="A304" s="286" t="s">
        <v>149</v>
      </c>
      <c r="B304" s="287">
        <v>2510</v>
      </c>
      <c r="C304" s="202"/>
      <c r="D304" s="216"/>
      <c r="E304" s="216"/>
      <c r="F304" s="202"/>
      <c r="G304" s="216"/>
      <c r="H304" s="216"/>
      <c r="I304" s="216"/>
      <c r="J304" s="216"/>
      <c r="K304" s="216"/>
      <c r="L304" s="292"/>
      <c r="M304" s="293"/>
      <c r="N304" s="290"/>
      <c r="O304" s="291"/>
      <c r="P304" s="291"/>
    </row>
    <row r="305" spans="1:16" ht="63" hidden="1">
      <c r="A305" s="286" t="s">
        <v>150</v>
      </c>
      <c r="B305" s="287">
        <v>2511</v>
      </c>
      <c r="C305" s="202"/>
      <c r="D305" s="216"/>
      <c r="E305" s="216"/>
      <c r="F305" s="202"/>
      <c r="G305" s="216"/>
      <c r="H305" s="216"/>
      <c r="I305" s="216"/>
      <c r="J305" s="216"/>
      <c r="K305" s="216"/>
      <c r="L305" s="292"/>
      <c r="M305" s="293"/>
      <c r="N305" s="290"/>
      <c r="O305" s="291"/>
      <c r="P305" s="291"/>
    </row>
    <row r="306" spans="1:16" ht="31.5" hidden="1">
      <c r="A306" s="286" t="s">
        <v>151</v>
      </c>
      <c r="B306" s="287">
        <v>2512</v>
      </c>
      <c r="C306" s="202"/>
      <c r="D306" s="216"/>
      <c r="E306" s="216"/>
      <c r="F306" s="202"/>
      <c r="G306" s="216"/>
      <c r="H306" s="216"/>
      <c r="I306" s="216"/>
      <c r="J306" s="216"/>
      <c r="K306" s="216"/>
      <c r="L306" s="292"/>
      <c r="M306" s="293"/>
      <c r="N306" s="290"/>
      <c r="O306" s="291"/>
      <c r="P306" s="291"/>
    </row>
    <row r="307" spans="1:16" ht="94.5" hidden="1">
      <c r="A307" s="286" t="s">
        <v>181</v>
      </c>
      <c r="B307" s="287">
        <v>2513</v>
      </c>
      <c r="C307" s="202"/>
      <c r="D307" s="216"/>
      <c r="E307" s="216"/>
      <c r="F307" s="202"/>
      <c r="G307" s="216"/>
      <c r="H307" s="216"/>
      <c r="I307" s="216"/>
      <c r="J307" s="216"/>
      <c r="K307" s="216"/>
      <c r="L307" s="292"/>
      <c r="M307" s="293"/>
      <c r="N307" s="290"/>
      <c r="O307" s="291"/>
      <c r="P307" s="291"/>
    </row>
    <row r="308" spans="1:16" ht="63" hidden="1">
      <c r="A308" s="286" t="s">
        <v>152</v>
      </c>
      <c r="B308" s="287">
        <v>2514</v>
      </c>
      <c r="C308" s="202"/>
      <c r="D308" s="216"/>
      <c r="E308" s="216"/>
      <c r="F308" s="202"/>
      <c r="G308" s="216"/>
      <c r="H308" s="216"/>
      <c r="I308" s="216"/>
      <c r="J308" s="216"/>
      <c r="K308" s="216"/>
      <c r="L308" s="292"/>
      <c r="M308" s="293"/>
      <c r="N308" s="290"/>
      <c r="O308" s="291"/>
      <c r="P308" s="291"/>
    </row>
    <row r="309" spans="1:16" ht="47.25" hidden="1">
      <c r="A309" s="286" t="s">
        <v>153</v>
      </c>
      <c r="B309" s="287">
        <v>2515</v>
      </c>
      <c r="C309" s="202"/>
      <c r="D309" s="216"/>
      <c r="E309" s="216"/>
      <c r="F309" s="202"/>
      <c r="G309" s="216"/>
      <c r="H309" s="216"/>
      <c r="I309" s="216"/>
      <c r="J309" s="216"/>
      <c r="K309" s="216"/>
      <c r="L309" s="292"/>
      <c r="M309" s="293"/>
      <c r="N309" s="290"/>
      <c r="O309" s="291"/>
      <c r="P309" s="291"/>
    </row>
    <row r="310" spans="1:16" ht="126" hidden="1">
      <c r="A310" s="286" t="s">
        <v>154</v>
      </c>
      <c r="B310" s="287">
        <v>2516</v>
      </c>
      <c r="C310" s="202"/>
      <c r="D310" s="216"/>
      <c r="E310" s="216"/>
      <c r="F310" s="202"/>
      <c r="G310" s="216"/>
      <c r="H310" s="216"/>
      <c r="I310" s="216"/>
      <c r="J310" s="216"/>
      <c r="K310" s="216"/>
      <c r="L310" s="292"/>
      <c r="M310" s="293"/>
      <c r="N310" s="290"/>
      <c r="O310" s="291"/>
      <c r="P310" s="291"/>
    </row>
    <row r="311" spans="1:16" ht="47.25" hidden="1">
      <c r="A311" s="286" t="s">
        <v>155</v>
      </c>
      <c r="B311" s="287">
        <v>2517</v>
      </c>
      <c r="C311" s="202"/>
      <c r="D311" s="216"/>
      <c r="E311" s="216"/>
      <c r="F311" s="202"/>
      <c r="G311" s="216"/>
      <c r="H311" s="216"/>
      <c r="I311" s="216"/>
      <c r="J311" s="216"/>
      <c r="K311" s="216"/>
      <c r="L311" s="292"/>
      <c r="M311" s="293"/>
      <c r="N311" s="290"/>
      <c r="O311" s="291"/>
      <c r="P311" s="291"/>
    </row>
    <row r="312" spans="1:16" ht="78.75" hidden="1">
      <c r="A312" s="286" t="s">
        <v>156</v>
      </c>
      <c r="B312" s="287">
        <v>2518</v>
      </c>
      <c r="C312" s="202"/>
      <c r="D312" s="216"/>
      <c r="E312" s="216"/>
      <c r="F312" s="202"/>
      <c r="G312" s="216"/>
      <c r="H312" s="216"/>
      <c r="I312" s="216"/>
      <c r="J312" s="216"/>
      <c r="K312" s="216"/>
      <c r="L312" s="292"/>
      <c r="M312" s="293"/>
      <c r="N312" s="290"/>
      <c r="O312" s="291"/>
      <c r="P312" s="291"/>
    </row>
    <row r="313" spans="1:16" ht="47.25" hidden="1">
      <c r="A313" s="286" t="s">
        <v>157</v>
      </c>
      <c r="B313" s="287">
        <v>2519</v>
      </c>
      <c r="C313" s="202"/>
      <c r="D313" s="216"/>
      <c r="E313" s="216"/>
      <c r="F313" s="202"/>
      <c r="G313" s="216"/>
      <c r="H313" s="216"/>
      <c r="I313" s="216"/>
      <c r="J313" s="216"/>
      <c r="K313" s="216"/>
      <c r="L313" s="292"/>
      <c r="M313" s="293"/>
      <c r="N313" s="290"/>
      <c r="O313" s="291"/>
      <c r="P313" s="291"/>
    </row>
    <row r="314" spans="1:16" ht="110.25" hidden="1">
      <c r="A314" s="286" t="s">
        <v>158</v>
      </c>
      <c r="B314" s="287">
        <v>2520</v>
      </c>
      <c r="C314" s="202"/>
      <c r="D314" s="216"/>
      <c r="E314" s="216"/>
      <c r="F314" s="202"/>
      <c r="G314" s="216"/>
      <c r="H314" s="216"/>
      <c r="I314" s="216"/>
      <c r="J314" s="216"/>
      <c r="K314" s="216"/>
      <c r="L314" s="292"/>
      <c r="M314" s="293"/>
      <c r="N314" s="290"/>
      <c r="O314" s="291"/>
      <c r="P314" s="291"/>
    </row>
    <row r="315" spans="1:16" ht="220.5" hidden="1">
      <c r="A315" s="286" t="s">
        <v>159</v>
      </c>
      <c r="B315" s="287">
        <v>2521</v>
      </c>
      <c r="C315" s="202"/>
      <c r="D315" s="216"/>
      <c r="E315" s="216"/>
      <c r="F315" s="202"/>
      <c r="G315" s="216"/>
      <c r="H315" s="216"/>
      <c r="I315" s="216"/>
      <c r="J315" s="216"/>
      <c r="K315" s="216"/>
      <c r="L315" s="292"/>
      <c r="M315" s="293"/>
      <c r="N315" s="290"/>
      <c r="O315" s="291"/>
      <c r="P315" s="291"/>
    </row>
    <row r="316" spans="1:16" ht="63" hidden="1">
      <c r="A316" s="286" t="s">
        <v>160</v>
      </c>
      <c r="B316" s="287">
        <v>2522</v>
      </c>
      <c r="C316" s="202"/>
      <c r="D316" s="216"/>
      <c r="E316" s="216"/>
      <c r="F316" s="202"/>
      <c r="G316" s="216"/>
      <c r="H316" s="216"/>
      <c r="I316" s="216"/>
      <c r="J316" s="216"/>
      <c r="K316" s="216"/>
      <c r="L316" s="292"/>
      <c r="M316" s="293"/>
      <c r="N316" s="290"/>
      <c r="O316" s="291"/>
      <c r="P316" s="291"/>
    </row>
    <row r="317" spans="1:16" ht="47.25" hidden="1">
      <c r="A317" s="286" t="s">
        <v>157</v>
      </c>
      <c r="B317" s="287">
        <v>2523</v>
      </c>
      <c r="C317" s="202"/>
      <c r="D317" s="216"/>
      <c r="E317" s="216"/>
      <c r="F317" s="202"/>
      <c r="G317" s="216"/>
      <c r="H317" s="216"/>
      <c r="I317" s="216"/>
      <c r="J317" s="216"/>
      <c r="K317" s="216"/>
      <c r="L317" s="292"/>
      <c r="M317" s="293"/>
      <c r="N317" s="290"/>
      <c r="O317" s="291"/>
      <c r="P317" s="291"/>
    </row>
    <row r="318" spans="1:16" ht="31.5" hidden="1">
      <c r="A318" s="286" t="s">
        <v>161</v>
      </c>
      <c r="B318" s="287">
        <v>2524</v>
      </c>
      <c r="C318" s="202"/>
      <c r="D318" s="216"/>
      <c r="E318" s="216"/>
      <c r="F318" s="202"/>
      <c r="G318" s="216"/>
      <c r="H318" s="216"/>
      <c r="I318" s="216"/>
      <c r="J318" s="216"/>
      <c r="K318" s="216"/>
      <c r="L318" s="292"/>
      <c r="M318" s="293"/>
      <c r="N318" s="290"/>
      <c r="O318" s="291"/>
      <c r="P318" s="291"/>
    </row>
    <row r="319" spans="1:16" ht="78.75" hidden="1">
      <c r="A319" s="286" t="s">
        <v>162</v>
      </c>
      <c r="B319" s="287">
        <v>2525</v>
      </c>
      <c r="C319" s="202"/>
      <c r="D319" s="216"/>
      <c r="E319" s="216"/>
      <c r="F319" s="202"/>
      <c r="G319" s="216"/>
      <c r="H319" s="216"/>
      <c r="I319" s="216"/>
      <c r="J319" s="216"/>
      <c r="K319" s="216"/>
      <c r="L319" s="292"/>
      <c r="M319" s="293"/>
      <c r="N319" s="290"/>
      <c r="O319" s="291"/>
      <c r="P319" s="291"/>
    </row>
    <row r="320" spans="1:16" ht="47.25" hidden="1">
      <c r="A320" s="286" t="s">
        <v>157</v>
      </c>
      <c r="B320" s="287">
        <v>2526</v>
      </c>
      <c r="C320" s="202"/>
      <c r="D320" s="216"/>
      <c r="E320" s="216"/>
      <c r="F320" s="202"/>
      <c r="G320" s="216"/>
      <c r="H320" s="216"/>
      <c r="I320" s="216"/>
      <c r="J320" s="216"/>
      <c r="K320" s="216"/>
      <c r="L320" s="292"/>
      <c r="M320" s="293"/>
      <c r="N320" s="290"/>
      <c r="O320" s="291"/>
      <c r="P320" s="291"/>
    </row>
    <row r="321" spans="1:16" ht="94.5" hidden="1">
      <c r="A321" s="286" t="s">
        <v>163</v>
      </c>
      <c r="B321" s="287">
        <v>2527</v>
      </c>
      <c r="C321" s="202"/>
      <c r="D321" s="216"/>
      <c r="E321" s="216"/>
      <c r="F321" s="202"/>
      <c r="G321" s="216"/>
      <c r="H321" s="216"/>
      <c r="I321" s="216"/>
      <c r="J321" s="216"/>
      <c r="K321" s="216"/>
      <c r="L321" s="292"/>
      <c r="M321" s="293"/>
      <c r="N321" s="290"/>
      <c r="O321" s="291"/>
      <c r="P321" s="291"/>
    </row>
    <row r="322" spans="1:16" ht="126" hidden="1">
      <c r="A322" s="286" t="s">
        <v>164</v>
      </c>
      <c r="B322" s="287">
        <v>2528</v>
      </c>
      <c r="C322" s="202"/>
      <c r="D322" s="216"/>
      <c r="E322" s="216"/>
      <c r="F322" s="202"/>
      <c r="G322" s="216"/>
      <c r="H322" s="216"/>
      <c r="I322" s="216"/>
      <c r="J322" s="216"/>
      <c r="K322" s="216"/>
      <c r="L322" s="292"/>
      <c r="M322" s="293"/>
      <c r="N322" s="290"/>
      <c r="O322" s="291"/>
      <c r="P322" s="291"/>
    </row>
    <row r="323" spans="1:16" ht="126" hidden="1">
      <c r="A323" s="286" t="s">
        <v>165</v>
      </c>
      <c r="B323" s="287">
        <v>2529</v>
      </c>
      <c r="C323" s="202"/>
      <c r="D323" s="216"/>
      <c r="E323" s="216"/>
      <c r="F323" s="202"/>
      <c r="G323" s="216"/>
      <c r="H323" s="216"/>
      <c r="I323" s="216"/>
      <c r="J323" s="216"/>
      <c r="K323" s="216"/>
      <c r="L323" s="292"/>
      <c r="M323" s="293"/>
      <c r="N323" s="290"/>
      <c r="O323" s="291"/>
      <c r="P323" s="291"/>
    </row>
    <row r="324" spans="1:16" ht="78.75" hidden="1">
      <c r="A324" s="286" t="s">
        <v>166</v>
      </c>
      <c r="B324" s="287">
        <v>2530</v>
      </c>
      <c r="C324" s="202"/>
      <c r="D324" s="216"/>
      <c r="E324" s="216"/>
      <c r="F324" s="202"/>
      <c r="G324" s="216"/>
      <c r="H324" s="216"/>
      <c r="I324" s="216"/>
      <c r="J324" s="216"/>
      <c r="K324" s="216"/>
      <c r="L324" s="292"/>
      <c r="M324" s="293"/>
      <c r="N324" s="290"/>
      <c r="O324" s="291"/>
      <c r="P324" s="291"/>
    </row>
    <row r="325" spans="1:16" ht="126" hidden="1">
      <c r="A325" s="286" t="s">
        <v>167</v>
      </c>
      <c r="B325" s="287">
        <v>2531</v>
      </c>
      <c r="C325" s="202"/>
      <c r="D325" s="216"/>
      <c r="E325" s="216"/>
      <c r="F325" s="202"/>
      <c r="G325" s="216"/>
      <c r="H325" s="216"/>
      <c r="I325" s="216"/>
      <c r="J325" s="216"/>
      <c r="K325" s="216"/>
      <c r="L325" s="292"/>
      <c r="M325" s="293"/>
      <c r="N325" s="290"/>
      <c r="O325" s="291"/>
      <c r="P325" s="291"/>
    </row>
    <row r="326" spans="1:16" ht="94.5" hidden="1">
      <c r="A326" s="286" t="s">
        <v>168</v>
      </c>
      <c r="B326" s="287">
        <v>2532</v>
      </c>
      <c r="C326" s="202"/>
      <c r="D326" s="216"/>
      <c r="E326" s="216"/>
      <c r="F326" s="202"/>
      <c r="G326" s="216"/>
      <c r="H326" s="216"/>
      <c r="I326" s="216"/>
      <c r="J326" s="216"/>
      <c r="K326" s="216"/>
      <c r="L326" s="292"/>
      <c r="M326" s="293"/>
      <c r="N326" s="290"/>
      <c r="O326" s="291"/>
      <c r="P326" s="291"/>
    </row>
    <row r="327" spans="1:16" ht="47.25" hidden="1">
      <c r="A327" s="286" t="s">
        <v>169</v>
      </c>
      <c r="B327" s="287">
        <v>2533</v>
      </c>
      <c r="C327" s="202"/>
      <c r="D327" s="216"/>
      <c r="E327" s="216"/>
      <c r="F327" s="202"/>
      <c r="G327" s="216"/>
      <c r="H327" s="216"/>
      <c r="I327" s="216"/>
      <c r="J327" s="216"/>
      <c r="K327" s="216"/>
      <c r="L327" s="292"/>
      <c r="M327" s="293"/>
      <c r="N327" s="290"/>
      <c r="O327" s="291"/>
      <c r="P327" s="291"/>
    </row>
    <row r="328" spans="1:16" ht="31.5" hidden="1">
      <c r="A328" s="286" t="s">
        <v>170</v>
      </c>
      <c r="B328" s="287">
        <v>2534</v>
      </c>
      <c r="C328" s="202"/>
      <c r="D328" s="216"/>
      <c r="E328" s="216"/>
      <c r="F328" s="202"/>
      <c r="G328" s="216"/>
      <c r="H328" s="216"/>
      <c r="I328" s="216"/>
      <c r="J328" s="216"/>
      <c r="K328" s="216"/>
      <c r="L328" s="292"/>
      <c r="M328" s="293"/>
      <c r="N328" s="290"/>
      <c r="O328" s="291"/>
      <c r="P328" s="291"/>
    </row>
    <row r="329" spans="1:16" ht="94.5" hidden="1">
      <c r="A329" s="286" t="s">
        <v>171</v>
      </c>
      <c r="B329" s="287">
        <v>2535</v>
      </c>
      <c r="C329" s="202"/>
      <c r="D329" s="216"/>
      <c r="E329" s="216"/>
      <c r="F329" s="202"/>
      <c r="G329" s="216"/>
      <c r="H329" s="216"/>
      <c r="I329" s="216"/>
      <c r="J329" s="216"/>
      <c r="K329" s="216"/>
      <c r="L329" s="292"/>
      <c r="M329" s="293"/>
      <c r="N329" s="290"/>
      <c r="O329" s="291"/>
      <c r="P329" s="291"/>
    </row>
    <row r="330" spans="1:16" ht="47.25" hidden="1">
      <c r="A330" s="286" t="s">
        <v>172</v>
      </c>
      <c r="B330" s="287">
        <v>2536</v>
      </c>
      <c r="C330" s="202"/>
      <c r="D330" s="216"/>
      <c r="E330" s="216"/>
      <c r="F330" s="202"/>
      <c r="G330" s="216"/>
      <c r="H330" s="216"/>
      <c r="I330" s="216"/>
      <c r="J330" s="216"/>
      <c r="K330" s="216"/>
      <c r="L330" s="292"/>
      <c r="M330" s="293"/>
      <c r="N330" s="290"/>
      <c r="O330" s="291"/>
      <c r="P330" s="291"/>
    </row>
    <row r="331" spans="1:16" ht="15.75" hidden="1">
      <c r="A331" s="286" t="s">
        <v>13</v>
      </c>
      <c r="B331" s="287">
        <v>2537</v>
      </c>
      <c r="C331" s="202"/>
      <c r="D331" s="216"/>
      <c r="E331" s="216"/>
      <c r="F331" s="202"/>
      <c r="G331" s="216"/>
      <c r="H331" s="216"/>
      <c r="I331" s="216"/>
      <c r="J331" s="216"/>
      <c r="K331" s="216"/>
      <c r="L331" s="292"/>
      <c r="M331" s="293"/>
      <c r="N331" s="290"/>
      <c r="O331" s="291"/>
      <c r="P331" s="291"/>
    </row>
    <row r="332" spans="1:16" ht="15.75" hidden="1">
      <c r="A332" s="286" t="s">
        <v>13</v>
      </c>
      <c r="B332" s="287">
        <v>2538</v>
      </c>
      <c r="C332" s="202"/>
      <c r="D332" s="216"/>
      <c r="E332" s="216"/>
      <c r="F332" s="202"/>
      <c r="G332" s="216"/>
      <c r="H332" s="216"/>
      <c r="I332" s="216"/>
      <c r="J332" s="216"/>
      <c r="K332" s="216"/>
      <c r="L332" s="292"/>
      <c r="M332" s="293"/>
      <c r="N332" s="290"/>
      <c r="O332" s="291"/>
      <c r="P332" s="291"/>
    </row>
    <row r="333" spans="1:16" ht="63" hidden="1">
      <c r="A333" s="294" t="s">
        <v>231</v>
      </c>
      <c r="B333" s="295">
        <v>2600</v>
      </c>
      <c r="C333" s="210" t="s">
        <v>12</v>
      </c>
      <c r="D333" s="211" t="s">
        <v>12</v>
      </c>
      <c r="E333" s="211" t="s">
        <v>12</v>
      </c>
      <c r="F333" s="210" t="s">
        <v>12</v>
      </c>
      <c r="G333" s="211" t="s">
        <v>12</v>
      </c>
      <c r="H333" s="211" t="s">
        <v>12</v>
      </c>
      <c r="I333" s="211"/>
      <c r="J333" s="211"/>
      <c r="K333" s="211"/>
      <c r="L333" s="296" t="s">
        <v>12</v>
      </c>
      <c r="M333" s="297" t="s">
        <v>12</v>
      </c>
      <c r="N333" s="298"/>
      <c r="O333" s="299">
        <f>SUM(O334:O335)</f>
        <v>0</v>
      </c>
      <c r="P333" s="299">
        <f>SUM(P334:P335)</f>
        <v>0</v>
      </c>
    </row>
    <row r="334" spans="1:16" ht="15.75" hidden="1">
      <c r="A334" s="286" t="s">
        <v>13</v>
      </c>
      <c r="B334" s="287">
        <v>2601</v>
      </c>
      <c r="C334" s="202"/>
      <c r="D334" s="216"/>
      <c r="E334" s="216"/>
      <c r="F334" s="202"/>
      <c r="G334" s="216"/>
      <c r="H334" s="216"/>
      <c r="I334" s="216"/>
      <c r="J334" s="216"/>
      <c r="K334" s="216"/>
      <c r="L334" s="292"/>
      <c r="M334" s="293"/>
      <c r="N334" s="290"/>
      <c r="O334" s="291"/>
      <c r="P334" s="291"/>
    </row>
    <row r="335" spans="1:16" ht="15.75" hidden="1">
      <c r="A335" s="286" t="s">
        <v>13</v>
      </c>
      <c r="B335" s="287">
        <v>2602</v>
      </c>
      <c r="C335" s="202"/>
      <c r="D335" s="216"/>
      <c r="E335" s="216"/>
      <c r="F335" s="202"/>
      <c r="G335" s="216"/>
      <c r="H335" s="216"/>
      <c r="I335" s="216"/>
      <c r="J335" s="216"/>
      <c r="K335" s="216"/>
      <c r="L335" s="292"/>
      <c r="M335" s="293"/>
      <c r="N335" s="290"/>
      <c r="O335" s="291"/>
      <c r="P335" s="291"/>
    </row>
    <row r="336" spans="1:16" ht="141.75" hidden="1">
      <c r="A336" s="294" t="s">
        <v>26</v>
      </c>
      <c r="B336" s="295">
        <v>2700</v>
      </c>
      <c r="C336" s="210" t="s">
        <v>12</v>
      </c>
      <c r="D336" s="211" t="s">
        <v>12</v>
      </c>
      <c r="E336" s="211" t="s">
        <v>12</v>
      </c>
      <c r="F336" s="210" t="s">
        <v>12</v>
      </c>
      <c r="G336" s="211" t="s">
        <v>12</v>
      </c>
      <c r="H336" s="211" t="s">
        <v>12</v>
      </c>
      <c r="I336" s="211"/>
      <c r="J336" s="211"/>
      <c r="K336" s="211"/>
      <c r="L336" s="296" t="s">
        <v>12</v>
      </c>
      <c r="M336" s="297" t="s">
        <v>12</v>
      </c>
      <c r="N336" s="298"/>
      <c r="O336" s="299">
        <f>O337+O338</f>
        <v>0</v>
      </c>
      <c r="P336" s="299">
        <f>P337+P338</f>
        <v>0</v>
      </c>
    </row>
    <row r="337" spans="1:16" ht="47.25" hidden="1">
      <c r="A337" s="294" t="s">
        <v>27</v>
      </c>
      <c r="B337" s="295">
        <v>2701</v>
      </c>
      <c r="C337" s="210"/>
      <c r="D337" s="211"/>
      <c r="E337" s="211"/>
      <c r="F337" s="210"/>
      <c r="G337" s="211"/>
      <c r="H337" s="211"/>
      <c r="I337" s="211"/>
      <c r="J337" s="211"/>
      <c r="K337" s="211"/>
      <c r="L337" s="296"/>
      <c r="M337" s="297"/>
      <c r="N337" s="298"/>
      <c r="O337" s="300"/>
      <c r="P337" s="300"/>
    </row>
    <row r="338" spans="1:16" ht="47.25" hidden="1">
      <c r="A338" s="294" t="s">
        <v>232</v>
      </c>
      <c r="B338" s="295">
        <v>2702</v>
      </c>
      <c r="C338" s="210" t="s">
        <v>12</v>
      </c>
      <c r="D338" s="211" t="s">
        <v>12</v>
      </c>
      <c r="E338" s="211" t="s">
        <v>12</v>
      </c>
      <c r="F338" s="210" t="s">
        <v>12</v>
      </c>
      <c r="G338" s="211" t="s">
        <v>12</v>
      </c>
      <c r="H338" s="211" t="s">
        <v>12</v>
      </c>
      <c r="I338" s="211"/>
      <c r="J338" s="211"/>
      <c r="K338" s="211"/>
      <c r="L338" s="296" t="s">
        <v>12</v>
      </c>
      <c r="M338" s="297" t="s">
        <v>12</v>
      </c>
      <c r="N338" s="298"/>
      <c r="O338" s="299">
        <f>SUM(O339:O340)</f>
        <v>0</v>
      </c>
      <c r="P338" s="299">
        <f>SUM(P339:P340)</f>
        <v>0</v>
      </c>
    </row>
    <row r="339" spans="1:16" ht="15.75" hidden="1">
      <c r="A339" s="286" t="s">
        <v>13</v>
      </c>
      <c r="B339" s="287">
        <v>2703</v>
      </c>
      <c r="C339" s="202"/>
      <c r="D339" s="216"/>
      <c r="E339" s="216"/>
      <c r="F339" s="202"/>
      <c r="G339" s="216"/>
      <c r="H339" s="216"/>
      <c r="I339" s="216"/>
      <c r="J339" s="216"/>
      <c r="K339" s="216"/>
      <c r="L339" s="292"/>
      <c r="M339" s="293"/>
      <c r="N339" s="290"/>
      <c r="O339" s="291"/>
      <c r="P339" s="291"/>
    </row>
    <row r="340" spans="1:16" ht="15.75" hidden="1">
      <c r="A340" s="286" t="s">
        <v>13</v>
      </c>
      <c r="B340" s="287">
        <v>2704</v>
      </c>
      <c r="C340" s="202"/>
      <c r="D340" s="216"/>
      <c r="E340" s="216"/>
      <c r="F340" s="202"/>
      <c r="G340" s="216"/>
      <c r="H340" s="216"/>
      <c r="I340" s="216"/>
      <c r="J340" s="216"/>
      <c r="K340" s="216"/>
      <c r="L340" s="292"/>
      <c r="M340" s="293"/>
      <c r="N340" s="290"/>
      <c r="O340" s="291"/>
      <c r="P340" s="291"/>
    </row>
    <row r="341" spans="1:16" ht="94.5" hidden="1">
      <c r="A341" s="301" t="s">
        <v>42</v>
      </c>
      <c r="B341" s="295">
        <v>4000</v>
      </c>
      <c r="C341" s="210" t="s">
        <v>12</v>
      </c>
      <c r="D341" s="211" t="s">
        <v>12</v>
      </c>
      <c r="E341" s="211" t="s">
        <v>12</v>
      </c>
      <c r="F341" s="210" t="s">
        <v>12</v>
      </c>
      <c r="G341" s="211" t="s">
        <v>12</v>
      </c>
      <c r="H341" s="211" t="s">
        <v>12</v>
      </c>
      <c r="I341" s="211"/>
      <c r="J341" s="211"/>
      <c r="K341" s="211"/>
      <c r="L341" s="296" t="s">
        <v>12</v>
      </c>
      <c r="M341" s="297" t="s">
        <v>12</v>
      </c>
      <c r="N341" s="298"/>
      <c r="O341" s="299">
        <f>O342+O384+O403+O424+O466</f>
        <v>0</v>
      </c>
      <c r="P341" s="299">
        <f>P342+P384+P403+P424+P466</f>
        <v>0</v>
      </c>
    </row>
    <row r="342" spans="1:16" ht="110.25" hidden="1">
      <c r="A342" s="294" t="s">
        <v>233</v>
      </c>
      <c r="B342" s="295">
        <v>4001</v>
      </c>
      <c r="C342" s="210" t="s">
        <v>12</v>
      </c>
      <c r="D342" s="211" t="s">
        <v>12</v>
      </c>
      <c r="E342" s="211" t="s">
        <v>12</v>
      </c>
      <c r="F342" s="210" t="s">
        <v>12</v>
      </c>
      <c r="G342" s="211" t="s">
        <v>12</v>
      </c>
      <c r="H342" s="211" t="s">
        <v>12</v>
      </c>
      <c r="I342" s="211"/>
      <c r="J342" s="211"/>
      <c r="K342" s="211"/>
      <c r="L342" s="296" t="s">
        <v>12</v>
      </c>
      <c r="M342" s="297" t="s">
        <v>12</v>
      </c>
      <c r="N342" s="298"/>
      <c r="O342" s="299">
        <f>SUM(O343:O383)</f>
        <v>0</v>
      </c>
      <c r="P342" s="299">
        <f>SUM(P343:P383)</f>
        <v>0</v>
      </c>
    </row>
    <row r="343" spans="1:16" ht="126" hidden="1">
      <c r="A343" s="286" t="s">
        <v>234</v>
      </c>
      <c r="B343" s="287">
        <v>4002</v>
      </c>
      <c r="C343" s="208"/>
      <c r="D343" s="208"/>
      <c r="E343" s="208"/>
      <c r="F343" s="208"/>
      <c r="G343" s="208"/>
      <c r="H343" s="208"/>
      <c r="I343" s="208"/>
      <c r="J343" s="208"/>
      <c r="K343" s="208"/>
      <c r="L343" s="288"/>
      <c r="M343" s="289"/>
      <c r="N343" s="290"/>
      <c r="O343" s="291"/>
      <c r="P343" s="291"/>
    </row>
    <row r="344" spans="1:16" ht="31.5" hidden="1">
      <c r="A344" s="286" t="s">
        <v>235</v>
      </c>
      <c r="B344" s="287">
        <v>4003</v>
      </c>
      <c r="C344" s="208"/>
      <c r="D344" s="208"/>
      <c r="E344" s="208"/>
      <c r="F344" s="208"/>
      <c r="G344" s="208"/>
      <c r="H344" s="208"/>
      <c r="I344" s="208"/>
      <c r="J344" s="208"/>
      <c r="K344" s="208"/>
      <c r="L344" s="288"/>
      <c r="M344" s="289"/>
      <c r="N344" s="290"/>
      <c r="O344" s="291"/>
      <c r="P344" s="291"/>
    </row>
    <row r="345" spans="1:16" ht="63" hidden="1">
      <c r="A345" s="286" t="s">
        <v>941</v>
      </c>
      <c r="B345" s="287">
        <v>4004</v>
      </c>
      <c r="C345" s="208"/>
      <c r="D345" s="208"/>
      <c r="E345" s="208"/>
      <c r="F345" s="208"/>
      <c r="G345" s="208"/>
      <c r="H345" s="208"/>
      <c r="I345" s="208"/>
      <c r="J345" s="208"/>
      <c r="K345" s="208"/>
      <c r="L345" s="288"/>
      <c r="M345" s="289"/>
      <c r="N345" s="290"/>
      <c r="O345" s="291"/>
      <c r="P345" s="291"/>
    </row>
    <row r="346" spans="1:16" ht="94.5" hidden="1">
      <c r="A346" s="286" t="s">
        <v>942</v>
      </c>
      <c r="B346" s="287">
        <v>4005</v>
      </c>
      <c r="C346" s="208"/>
      <c r="D346" s="208"/>
      <c r="E346" s="208"/>
      <c r="F346" s="208"/>
      <c r="G346" s="208"/>
      <c r="H346" s="208"/>
      <c r="I346" s="208"/>
      <c r="J346" s="208"/>
      <c r="K346" s="208"/>
      <c r="L346" s="288"/>
      <c r="M346" s="289"/>
      <c r="N346" s="290"/>
      <c r="O346" s="291"/>
      <c r="P346" s="291"/>
    </row>
    <row r="347" spans="1:16" ht="252" hidden="1">
      <c r="A347" s="286" t="s">
        <v>743</v>
      </c>
      <c r="B347" s="287">
        <v>4006</v>
      </c>
      <c r="C347" s="208"/>
      <c r="D347" s="208"/>
      <c r="E347" s="208"/>
      <c r="F347" s="208"/>
      <c r="G347" s="208"/>
      <c r="H347" s="208"/>
      <c r="I347" s="208"/>
      <c r="J347" s="208"/>
      <c r="K347" s="208"/>
      <c r="L347" s="288"/>
      <c r="M347" s="289"/>
      <c r="N347" s="290"/>
      <c r="O347" s="291"/>
      <c r="P347" s="291"/>
    </row>
    <row r="348" spans="1:16" ht="173.25" hidden="1">
      <c r="A348" s="286" t="s">
        <v>744</v>
      </c>
      <c r="B348" s="287">
        <v>4007</v>
      </c>
      <c r="C348" s="208"/>
      <c r="D348" s="208"/>
      <c r="E348" s="208"/>
      <c r="F348" s="208"/>
      <c r="G348" s="208"/>
      <c r="H348" s="208"/>
      <c r="I348" s="208"/>
      <c r="J348" s="208"/>
      <c r="K348" s="208"/>
      <c r="L348" s="288"/>
      <c r="M348" s="289"/>
      <c r="N348" s="290"/>
      <c r="O348" s="291"/>
      <c r="P348" s="291"/>
    </row>
    <row r="349" spans="1:16" ht="63" hidden="1">
      <c r="A349" s="286" t="s">
        <v>943</v>
      </c>
      <c r="B349" s="287">
        <v>4008</v>
      </c>
      <c r="C349" s="208"/>
      <c r="D349" s="208"/>
      <c r="E349" s="208"/>
      <c r="F349" s="208"/>
      <c r="G349" s="208"/>
      <c r="H349" s="208"/>
      <c r="I349" s="208"/>
      <c r="J349" s="208"/>
      <c r="K349" s="208"/>
      <c r="L349" s="288"/>
      <c r="M349" s="289"/>
      <c r="N349" s="290"/>
      <c r="O349" s="291"/>
      <c r="P349" s="291"/>
    </row>
    <row r="350" spans="1:16" ht="78.75" hidden="1">
      <c r="A350" s="286" t="s">
        <v>944</v>
      </c>
      <c r="B350" s="287">
        <v>4009</v>
      </c>
      <c r="C350" s="208"/>
      <c r="D350" s="208"/>
      <c r="E350" s="208"/>
      <c r="F350" s="208"/>
      <c r="G350" s="208"/>
      <c r="H350" s="208"/>
      <c r="I350" s="208"/>
      <c r="J350" s="208"/>
      <c r="K350" s="208"/>
      <c r="L350" s="288"/>
      <c r="M350" s="289"/>
      <c r="N350" s="290"/>
      <c r="O350" s="291"/>
      <c r="P350" s="291"/>
    </row>
    <row r="351" spans="1:16" ht="173.25" hidden="1">
      <c r="A351" s="286" t="s">
        <v>745</v>
      </c>
      <c r="B351" s="287">
        <v>4010</v>
      </c>
      <c r="C351" s="208"/>
      <c r="D351" s="208"/>
      <c r="E351" s="208"/>
      <c r="F351" s="208"/>
      <c r="G351" s="208"/>
      <c r="H351" s="208"/>
      <c r="I351" s="208"/>
      <c r="J351" s="208"/>
      <c r="K351" s="208"/>
      <c r="L351" s="288"/>
      <c r="M351" s="289"/>
      <c r="N351" s="290"/>
      <c r="O351" s="291"/>
      <c r="P351" s="291"/>
    </row>
    <row r="352" spans="1:16" ht="47.25" hidden="1">
      <c r="A352" s="286" t="s">
        <v>945</v>
      </c>
      <c r="B352" s="287">
        <v>4011</v>
      </c>
      <c r="C352" s="208"/>
      <c r="D352" s="208"/>
      <c r="E352" s="208"/>
      <c r="F352" s="208"/>
      <c r="G352" s="208"/>
      <c r="H352" s="208"/>
      <c r="I352" s="208"/>
      <c r="J352" s="208"/>
      <c r="K352" s="208"/>
      <c r="L352" s="288"/>
      <c r="M352" s="289"/>
      <c r="N352" s="290"/>
      <c r="O352" s="291"/>
      <c r="P352" s="291"/>
    </row>
    <row r="353" spans="1:16" ht="47.25" hidden="1">
      <c r="A353" s="286" t="s">
        <v>946</v>
      </c>
      <c r="B353" s="287">
        <v>4012</v>
      </c>
      <c r="C353" s="208"/>
      <c r="D353" s="208"/>
      <c r="E353" s="208"/>
      <c r="F353" s="208"/>
      <c r="G353" s="208"/>
      <c r="H353" s="208"/>
      <c r="I353" s="208"/>
      <c r="J353" s="208"/>
      <c r="K353" s="208"/>
      <c r="L353" s="288"/>
      <c r="M353" s="289"/>
      <c r="N353" s="290"/>
      <c r="O353" s="291"/>
      <c r="P353" s="291"/>
    </row>
    <row r="354" spans="1:16" ht="63" hidden="1">
      <c r="A354" s="286" t="s">
        <v>947</v>
      </c>
      <c r="B354" s="287">
        <v>4013</v>
      </c>
      <c r="C354" s="208"/>
      <c r="D354" s="208"/>
      <c r="E354" s="208"/>
      <c r="F354" s="208"/>
      <c r="G354" s="208"/>
      <c r="H354" s="208"/>
      <c r="I354" s="208"/>
      <c r="J354" s="208"/>
      <c r="K354" s="208"/>
      <c r="L354" s="288"/>
      <c r="M354" s="289"/>
      <c r="N354" s="290"/>
      <c r="O354" s="291"/>
      <c r="P354" s="291"/>
    </row>
    <row r="355" spans="1:16" ht="63" hidden="1">
      <c r="A355" s="286" t="s">
        <v>948</v>
      </c>
      <c r="B355" s="287">
        <v>4014</v>
      </c>
      <c r="C355" s="208"/>
      <c r="D355" s="208"/>
      <c r="E355" s="208"/>
      <c r="F355" s="208"/>
      <c r="G355" s="208"/>
      <c r="H355" s="208"/>
      <c r="I355" s="208"/>
      <c r="J355" s="208"/>
      <c r="K355" s="208"/>
      <c r="L355" s="288"/>
      <c r="M355" s="289"/>
      <c r="N355" s="290"/>
      <c r="O355" s="291"/>
      <c r="P355" s="291"/>
    </row>
    <row r="356" spans="1:16" ht="47.25" hidden="1">
      <c r="A356" s="286" t="s">
        <v>949</v>
      </c>
      <c r="B356" s="287">
        <v>4015</v>
      </c>
      <c r="C356" s="208"/>
      <c r="D356" s="208"/>
      <c r="E356" s="208"/>
      <c r="F356" s="208"/>
      <c r="G356" s="208"/>
      <c r="H356" s="208"/>
      <c r="I356" s="208"/>
      <c r="J356" s="208"/>
      <c r="K356" s="208"/>
      <c r="L356" s="288"/>
      <c r="M356" s="289"/>
      <c r="N356" s="290"/>
      <c r="O356" s="291"/>
      <c r="P356" s="291"/>
    </row>
    <row r="357" spans="1:16" ht="141.75" hidden="1">
      <c r="A357" s="286" t="s">
        <v>746</v>
      </c>
      <c r="B357" s="287">
        <v>4016</v>
      </c>
      <c r="C357" s="208"/>
      <c r="D357" s="208"/>
      <c r="E357" s="208"/>
      <c r="F357" s="208"/>
      <c r="G357" s="208"/>
      <c r="H357" s="208"/>
      <c r="I357" s="208"/>
      <c r="J357" s="208"/>
      <c r="K357" s="208"/>
      <c r="L357" s="288"/>
      <c r="M357" s="289"/>
      <c r="N357" s="290"/>
      <c r="O357" s="291"/>
      <c r="P357" s="291"/>
    </row>
    <row r="358" spans="1:16" ht="94.5" hidden="1">
      <c r="A358" s="286" t="s">
        <v>950</v>
      </c>
      <c r="B358" s="287">
        <v>4017</v>
      </c>
      <c r="C358" s="208"/>
      <c r="D358" s="208"/>
      <c r="E358" s="208"/>
      <c r="F358" s="208"/>
      <c r="G358" s="208"/>
      <c r="H358" s="208"/>
      <c r="I358" s="208"/>
      <c r="J358" s="208"/>
      <c r="K358" s="208"/>
      <c r="L358" s="288"/>
      <c r="M358" s="289"/>
      <c r="N358" s="290"/>
      <c r="O358" s="291"/>
      <c r="P358" s="291"/>
    </row>
    <row r="359" spans="1:16" ht="110.25" hidden="1">
      <c r="A359" s="286" t="s">
        <v>951</v>
      </c>
      <c r="B359" s="287">
        <v>4018</v>
      </c>
      <c r="C359" s="208"/>
      <c r="D359" s="208"/>
      <c r="E359" s="208"/>
      <c r="F359" s="208"/>
      <c r="G359" s="208"/>
      <c r="H359" s="208"/>
      <c r="I359" s="208"/>
      <c r="J359" s="208"/>
      <c r="K359" s="208"/>
      <c r="L359" s="288"/>
      <c r="M359" s="289"/>
      <c r="N359" s="290"/>
      <c r="O359" s="291"/>
      <c r="P359" s="291"/>
    </row>
    <row r="360" spans="1:16" ht="110.25" hidden="1">
      <c r="A360" s="286" t="s">
        <v>952</v>
      </c>
      <c r="B360" s="287">
        <v>4019</v>
      </c>
      <c r="C360" s="208"/>
      <c r="D360" s="208"/>
      <c r="E360" s="208"/>
      <c r="F360" s="208"/>
      <c r="G360" s="208"/>
      <c r="H360" s="208"/>
      <c r="I360" s="208"/>
      <c r="J360" s="208"/>
      <c r="K360" s="208"/>
      <c r="L360" s="288"/>
      <c r="M360" s="289"/>
      <c r="N360" s="290"/>
      <c r="O360" s="291"/>
      <c r="P360" s="291"/>
    </row>
    <row r="361" spans="1:16" ht="31.5" hidden="1">
      <c r="A361" s="286" t="s">
        <v>953</v>
      </c>
      <c r="B361" s="287">
        <v>4020</v>
      </c>
      <c r="C361" s="208"/>
      <c r="D361" s="208"/>
      <c r="E361" s="208"/>
      <c r="F361" s="208"/>
      <c r="G361" s="208"/>
      <c r="H361" s="208"/>
      <c r="I361" s="208"/>
      <c r="J361" s="208"/>
      <c r="K361" s="208"/>
      <c r="L361" s="288"/>
      <c r="M361" s="289"/>
      <c r="N361" s="290"/>
      <c r="O361" s="291"/>
      <c r="P361" s="291"/>
    </row>
    <row r="362" spans="1:16" ht="63" hidden="1">
      <c r="A362" s="286" t="s">
        <v>236</v>
      </c>
      <c r="B362" s="287">
        <v>4021</v>
      </c>
      <c r="C362" s="208"/>
      <c r="D362" s="208"/>
      <c r="E362" s="208"/>
      <c r="F362" s="208"/>
      <c r="G362" s="208"/>
      <c r="H362" s="208"/>
      <c r="I362" s="208"/>
      <c r="J362" s="208"/>
      <c r="K362" s="208"/>
      <c r="L362" s="288"/>
      <c r="M362" s="289"/>
      <c r="N362" s="290"/>
      <c r="O362" s="291"/>
      <c r="P362" s="291"/>
    </row>
    <row r="363" spans="1:16" ht="393.75" hidden="1">
      <c r="A363" s="286" t="s">
        <v>747</v>
      </c>
      <c r="B363" s="287">
        <v>4022</v>
      </c>
      <c r="C363" s="208"/>
      <c r="D363" s="208"/>
      <c r="E363" s="208"/>
      <c r="F363" s="208"/>
      <c r="G363" s="208"/>
      <c r="H363" s="208"/>
      <c r="I363" s="208"/>
      <c r="J363" s="208"/>
      <c r="K363" s="208"/>
      <c r="L363" s="288"/>
      <c r="M363" s="289"/>
      <c r="N363" s="290"/>
      <c r="O363" s="291"/>
      <c r="P363" s="291"/>
    </row>
    <row r="364" spans="1:16" ht="409.5" hidden="1">
      <c r="A364" s="286" t="s">
        <v>748</v>
      </c>
      <c r="B364" s="287">
        <v>4023</v>
      </c>
      <c r="C364" s="208"/>
      <c r="D364" s="208"/>
      <c r="E364" s="208"/>
      <c r="F364" s="208"/>
      <c r="G364" s="208"/>
      <c r="H364" s="208"/>
      <c r="I364" s="208"/>
      <c r="J364" s="208"/>
      <c r="K364" s="208"/>
      <c r="L364" s="288"/>
      <c r="M364" s="289"/>
      <c r="N364" s="290"/>
      <c r="O364" s="291"/>
      <c r="P364" s="291"/>
    </row>
    <row r="365" spans="1:16" ht="220.5" hidden="1">
      <c r="A365" s="286" t="s">
        <v>749</v>
      </c>
      <c r="B365" s="287">
        <v>4024</v>
      </c>
      <c r="C365" s="208"/>
      <c r="D365" s="208"/>
      <c r="E365" s="208"/>
      <c r="F365" s="208"/>
      <c r="G365" s="208"/>
      <c r="H365" s="208"/>
      <c r="I365" s="208"/>
      <c r="J365" s="208"/>
      <c r="K365" s="208"/>
      <c r="L365" s="288"/>
      <c r="M365" s="289"/>
      <c r="N365" s="290"/>
      <c r="O365" s="291"/>
      <c r="P365" s="291"/>
    </row>
    <row r="366" spans="1:16" ht="31.5" hidden="1">
      <c r="A366" s="286" t="s">
        <v>205</v>
      </c>
      <c r="B366" s="287">
        <v>4025</v>
      </c>
      <c r="C366" s="208"/>
      <c r="D366" s="208"/>
      <c r="E366" s="208"/>
      <c r="F366" s="208"/>
      <c r="G366" s="208"/>
      <c r="H366" s="208"/>
      <c r="I366" s="208"/>
      <c r="J366" s="208"/>
      <c r="K366" s="208"/>
      <c r="L366" s="288"/>
      <c r="M366" s="289"/>
      <c r="N366" s="290"/>
      <c r="O366" s="291"/>
      <c r="P366" s="291"/>
    </row>
    <row r="367" spans="1:16" ht="94.5" hidden="1">
      <c r="A367" s="286" t="s">
        <v>954</v>
      </c>
      <c r="B367" s="287">
        <v>4026</v>
      </c>
      <c r="C367" s="208"/>
      <c r="D367" s="208"/>
      <c r="E367" s="208"/>
      <c r="F367" s="208"/>
      <c r="G367" s="208"/>
      <c r="H367" s="208"/>
      <c r="I367" s="208"/>
      <c r="J367" s="208"/>
      <c r="K367" s="208"/>
      <c r="L367" s="288"/>
      <c r="M367" s="289"/>
      <c r="N367" s="290"/>
      <c r="O367" s="291"/>
      <c r="P367" s="291"/>
    </row>
    <row r="368" spans="1:16" ht="78.75" hidden="1">
      <c r="A368" s="286" t="s">
        <v>955</v>
      </c>
      <c r="B368" s="287">
        <v>4027</v>
      </c>
      <c r="C368" s="208"/>
      <c r="D368" s="208"/>
      <c r="E368" s="208"/>
      <c r="F368" s="208"/>
      <c r="G368" s="208"/>
      <c r="H368" s="208"/>
      <c r="I368" s="208"/>
      <c r="J368" s="208"/>
      <c r="K368" s="208"/>
      <c r="L368" s="288"/>
      <c r="M368" s="289"/>
      <c r="N368" s="290"/>
      <c r="O368" s="291"/>
      <c r="P368" s="291"/>
    </row>
    <row r="369" spans="1:16" ht="63" hidden="1">
      <c r="A369" s="286" t="s">
        <v>70</v>
      </c>
      <c r="B369" s="287">
        <v>4028</v>
      </c>
      <c r="C369" s="208"/>
      <c r="D369" s="208"/>
      <c r="E369" s="208"/>
      <c r="F369" s="208"/>
      <c r="G369" s="208"/>
      <c r="H369" s="208"/>
      <c r="I369" s="208"/>
      <c r="J369" s="208"/>
      <c r="K369" s="208"/>
      <c r="L369" s="288"/>
      <c r="M369" s="289"/>
      <c r="N369" s="290"/>
      <c r="O369" s="291"/>
      <c r="P369" s="291"/>
    </row>
    <row r="370" spans="1:16" ht="126" hidden="1">
      <c r="A370" s="286" t="s">
        <v>750</v>
      </c>
      <c r="B370" s="287">
        <v>4029</v>
      </c>
      <c r="C370" s="208"/>
      <c r="D370" s="208"/>
      <c r="E370" s="208"/>
      <c r="F370" s="208"/>
      <c r="G370" s="208"/>
      <c r="H370" s="208"/>
      <c r="I370" s="208"/>
      <c r="J370" s="208"/>
      <c r="K370" s="208"/>
      <c r="L370" s="288"/>
      <c r="M370" s="289"/>
      <c r="N370" s="290"/>
      <c r="O370" s="291"/>
      <c r="P370" s="291"/>
    </row>
    <row r="371" spans="1:16" ht="63" hidden="1">
      <c r="A371" s="286" t="s">
        <v>237</v>
      </c>
      <c r="B371" s="287">
        <v>4030</v>
      </c>
      <c r="C371" s="208"/>
      <c r="D371" s="208"/>
      <c r="E371" s="208"/>
      <c r="F371" s="208"/>
      <c r="G371" s="208"/>
      <c r="H371" s="208"/>
      <c r="I371" s="208"/>
      <c r="J371" s="208"/>
      <c r="K371" s="208"/>
      <c r="L371" s="288"/>
      <c r="M371" s="289"/>
      <c r="N371" s="290"/>
      <c r="O371" s="291"/>
      <c r="P371" s="291"/>
    </row>
    <row r="372" spans="1:16" ht="47.25" hidden="1">
      <c r="A372" s="286" t="s">
        <v>956</v>
      </c>
      <c r="B372" s="287">
        <v>4031</v>
      </c>
      <c r="C372" s="208"/>
      <c r="D372" s="208"/>
      <c r="E372" s="208"/>
      <c r="F372" s="208"/>
      <c r="G372" s="208"/>
      <c r="H372" s="208"/>
      <c r="I372" s="208"/>
      <c r="J372" s="208"/>
      <c r="K372" s="208"/>
      <c r="L372" s="288"/>
      <c r="M372" s="289"/>
      <c r="N372" s="290"/>
      <c r="O372" s="291"/>
      <c r="P372" s="291"/>
    </row>
    <row r="373" spans="1:16" ht="94.5" hidden="1">
      <c r="A373" s="286" t="s">
        <v>238</v>
      </c>
      <c r="B373" s="287">
        <v>4032</v>
      </c>
      <c r="C373" s="208"/>
      <c r="D373" s="208"/>
      <c r="E373" s="208"/>
      <c r="F373" s="208"/>
      <c r="G373" s="208"/>
      <c r="H373" s="208"/>
      <c r="I373" s="208"/>
      <c r="J373" s="208"/>
      <c r="K373" s="208"/>
      <c r="L373" s="288"/>
      <c r="M373" s="289"/>
      <c r="N373" s="290"/>
      <c r="O373" s="291"/>
      <c r="P373" s="291"/>
    </row>
    <row r="374" spans="1:16" ht="31.5" hidden="1">
      <c r="A374" s="286" t="s">
        <v>75</v>
      </c>
      <c r="B374" s="287">
        <v>4033</v>
      </c>
      <c r="C374" s="208"/>
      <c r="D374" s="208"/>
      <c r="E374" s="208"/>
      <c r="F374" s="208"/>
      <c r="G374" s="208"/>
      <c r="H374" s="208"/>
      <c r="I374" s="208"/>
      <c r="J374" s="208"/>
      <c r="K374" s="208"/>
      <c r="L374" s="288"/>
      <c r="M374" s="289"/>
      <c r="N374" s="290"/>
      <c r="O374" s="291"/>
      <c r="P374" s="291"/>
    </row>
    <row r="375" spans="1:16" ht="63" hidden="1">
      <c r="A375" s="286" t="s">
        <v>218</v>
      </c>
      <c r="B375" s="287">
        <v>4034</v>
      </c>
      <c r="C375" s="208"/>
      <c r="D375" s="208"/>
      <c r="E375" s="208"/>
      <c r="F375" s="208"/>
      <c r="G375" s="208"/>
      <c r="H375" s="208"/>
      <c r="I375" s="208"/>
      <c r="J375" s="208"/>
      <c r="K375" s="208"/>
      <c r="L375" s="288"/>
      <c r="M375" s="289"/>
      <c r="N375" s="290"/>
      <c r="O375" s="291"/>
      <c r="P375" s="291"/>
    </row>
    <row r="376" spans="1:16" ht="78.75" hidden="1">
      <c r="A376" s="286" t="s">
        <v>957</v>
      </c>
      <c r="B376" s="287">
        <v>4035</v>
      </c>
      <c r="C376" s="208"/>
      <c r="D376" s="208"/>
      <c r="E376" s="208"/>
      <c r="F376" s="208"/>
      <c r="G376" s="208"/>
      <c r="H376" s="208"/>
      <c r="I376" s="208"/>
      <c r="J376" s="208"/>
      <c r="K376" s="208"/>
      <c r="L376" s="288"/>
      <c r="M376" s="289"/>
      <c r="N376" s="290"/>
      <c r="O376" s="291"/>
      <c r="P376" s="291"/>
    </row>
    <row r="377" spans="1:16" ht="94.5" hidden="1">
      <c r="A377" s="286" t="s">
        <v>54</v>
      </c>
      <c r="B377" s="287">
        <v>4036</v>
      </c>
      <c r="C377" s="208"/>
      <c r="D377" s="208"/>
      <c r="E377" s="208"/>
      <c r="F377" s="208"/>
      <c r="G377" s="208"/>
      <c r="H377" s="208"/>
      <c r="I377" s="208"/>
      <c r="J377" s="208"/>
      <c r="K377" s="208"/>
      <c r="L377" s="288"/>
      <c r="M377" s="289"/>
      <c r="N377" s="290"/>
      <c r="O377" s="291"/>
      <c r="P377" s="291"/>
    </row>
    <row r="378" spans="1:16" ht="110.25" hidden="1">
      <c r="A378" s="286" t="s">
        <v>239</v>
      </c>
      <c r="B378" s="287">
        <v>4037</v>
      </c>
      <c r="C378" s="208"/>
      <c r="D378" s="208"/>
      <c r="E378" s="208"/>
      <c r="F378" s="208"/>
      <c r="G378" s="208"/>
      <c r="H378" s="208"/>
      <c r="I378" s="208"/>
      <c r="J378" s="208"/>
      <c r="K378" s="208"/>
      <c r="L378" s="288"/>
      <c r="M378" s="289"/>
      <c r="N378" s="290"/>
      <c r="O378" s="291"/>
      <c r="P378" s="291"/>
    </row>
    <row r="379" spans="1:16" ht="110.25" hidden="1">
      <c r="A379" s="286" t="s">
        <v>751</v>
      </c>
      <c r="B379" s="287">
        <v>4038</v>
      </c>
      <c r="C379" s="208"/>
      <c r="D379" s="208"/>
      <c r="E379" s="208"/>
      <c r="F379" s="208"/>
      <c r="G379" s="208"/>
      <c r="H379" s="208"/>
      <c r="I379" s="208"/>
      <c r="J379" s="208"/>
      <c r="K379" s="208"/>
      <c r="L379" s="288"/>
      <c r="M379" s="289"/>
      <c r="N379" s="290"/>
      <c r="O379" s="291"/>
      <c r="P379" s="291"/>
    </row>
    <row r="380" spans="1:16" ht="47.25" hidden="1">
      <c r="A380" s="286" t="s">
        <v>958</v>
      </c>
      <c r="B380" s="287">
        <v>4039</v>
      </c>
      <c r="C380" s="208"/>
      <c r="D380" s="208"/>
      <c r="E380" s="208"/>
      <c r="F380" s="208"/>
      <c r="G380" s="208"/>
      <c r="H380" s="208"/>
      <c r="I380" s="208"/>
      <c r="J380" s="208"/>
      <c r="K380" s="208"/>
      <c r="L380" s="288"/>
      <c r="M380" s="289"/>
      <c r="N380" s="290"/>
      <c r="O380" s="291"/>
      <c r="P380" s="291"/>
    </row>
    <row r="381" spans="1:16" ht="78.75" hidden="1">
      <c r="A381" s="286" t="s">
        <v>240</v>
      </c>
      <c r="B381" s="287">
        <v>4040</v>
      </c>
      <c r="C381" s="208"/>
      <c r="D381" s="208"/>
      <c r="E381" s="208"/>
      <c r="F381" s="208"/>
      <c r="G381" s="208"/>
      <c r="H381" s="208"/>
      <c r="I381" s="208"/>
      <c r="J381" s="208"/>
      <c r="K381" s="208"/>
      <c r="L381" s="288"/>
      <c r="M381" s="289"/>
      <c r="N381" s="290"/>
      <c r="O381" s="291"/>
      <c r="P381" s="291"/>
    </row>
    <row r="382" spans="1:16" ht="15.75" hidden="1">
      <c r="A382" s="286" t="s">
        <v>13</v>
      </c>
      <c r="B382" s="287">
        <v>4041</v>
      </c>
      <c r="C382" s="208"/>
      <c r="D382" s="208"/>
      <c r="E382" s="208"/>
      <c r="F382" s="208"/>
      <c r="G382" s="208"/>
      <c r="H382" s="208"/>
      <c r="I382" s="208"/>
      <c r="J382" s="208"/>
      <c r="K382" s="208"/>
      <c r="L382" s="288"/>
      <c r="M382" s="289"/>
      <c r="N382" s="290"/>
      <c r="O382" s="291"/>
      <c r="P382" s="291"/>
    </row>
    <row r="383" spans="1:16" ht="15.75" hidden="1">
      <c r="A383" s="286" t="s">
        <v>13</v>
      </c>
      <c r="B383" s="287">
        <v>4042</v>
      </c>
      <c r="C383" s="208"/>
      <c r="D383" s="208"/>
      <c r="E383" s="208"/>
      <c r="F383" s="208"/>
      <c r="G383" s="208"/>
      <c r="H383" s="208"/>
      <c r="I383" s="208"/>
      <c r="J383" s="208"/>
      <c r="K383" s="208"/>
      <c r="L383" s="288"/>
      <c r="M383" s="289"/>
      <c r="N383" s="290"/>
      <c r="O383" s="291"/>
      <c r="P383" s="291"/>
    </row>
    <row r="384" spans="1:16" ht="141.75" hidden="1">
      <c r="A384" s="294" t="s">
        <v>241</v>
      </c>
      <c r="B384" s="295">
        <v>4100</v>
      </c>
      <c r="C384" s="210" t="s">
        <v>12</v>
      </c>
      <c r="D384" s="211" t="s">
        <v>12</v>
      </c>
      <c r="E384" s="211" t="s">
        <v>12</v>
      </c>
      <c r="F384" s="210" t="s">
        <v>12</v>
      </c>
      <c r="G384" s="211" t="s">
        <v>12</v>
      </c>
      <c r="H384" s="211" t="s">
        <v>12</v>
      </c>
      <c r="I384" s="211"/>
      <c r="J384" s="211"/>
      <c r="K384" s="211"/>
      <c r="L384" s="296" t="s">
        <v>12</v>
      </c>
      <c r="M384" s="297" t="s">
        <v>12</v>
      </c>
      <c r="N384" s="298"/>
      <c r="O384" s="299">
        <f>SUM(O385:O402)</f>
        <v>0</v>
      </c>
      <c r="P384" s="299">
        <f>SUM(P385:P402)</f>
        <v>0</v>
      </c>
    </row>
    <row r="385" spans="1:16" ht="31.5" hidden="1">
      <c r="A385" s="286" t="s">
        <v>109</v>
      </c>
      <c r="B385" s="287">
        <v>4101</v>
      </c>
      <c r="C385" s="208"/>
      <c r="D385" s="208"/>
      <c r="E385" s="208"/>
      <c r="F385" s="208"/>
      <c r="G385" s="208"/>
      <c r="H385" s="208"/>
      <c r="I385" s="208"/>
      <c r="J385" s="208"/>
      <c r="K385" s="208"/>
      <c r="L385" s="288"/>
      <c r="M385" s="289"/>
      <c r="N385" s="290"/>
      <c r="O385" s="291"/>
      <c r="P385" s="291"/>
    </row>
    <row r="386" spans="1:16" ht="31.5" hidden="1">
      <c r="A386" s="286" t="s">
        <v>110</v>
      </c>
      <c r="B386" s="287">
        <v>4102</v>
      </c>
      <c r="C386" s="208"/>
      <c r="D386" s="208"/>
      <c r="E386" s="208"/>
      <c r="F386" s="208"/>
      <c r="G386" s="208"/>
      <c r="H386" s="208"/>
      <c r="I386" s="208"/>
      <c r="J386" s="208"/>
      <c r="K386" s="208"/>
      <c r="L386" s="288"/>
      <c r="M386" s="289"/>
      <c r="N386" s="290"/>
      <c r="O386" s="291"/>
      <c r="P386" s="291"/>
    </row>
    <row r="387" spans="1:16" ht="63" hidden="1">
      <c r="A387" s="286" t="s">
        <v>111</v>
      </c>
      <c r="B387" s="287">
        <v>4103</v>
      </c>
      <c r="C387" s="208"/>
      <c r="D387" s="208"/>
      <c r="E387" s="208"/>
      <c r="F387" s="208"/>
      <c r="G387" s="208"/>
      <c r="H387" s="208"/>
      <c r="I387" s="208"/>
      <c r="J387" s="208"/>
      <c r="K387" s="208"/>
      <c r="L387" s="288"/>
      <c r="M387" s="289"/>
      <c r="N387" s="290"/>
      <c r="O387" s="291"/>
      <c r="P387" s="291"/>
    </row>
    <row r="388" spans="1:16" ht="31.5" hidden="1">
      <c r="A388" s="286" t="s">
        <v>112</v>
      </c>
      <c r="B388" s="287">
        <v>4104</v>
      </c>
      <c r="C388" s="208"/>
      <c r="D388" s="208"/>
      <c r="E388" s="208"/>
      <c r="F388" s="208"/>
      <c r="G388" s="208"/>
      <c r="H388" s="208"/>
      <c r="I388" s="208"/>
      <c r="J388" s="208"/>
      <c r="K388" s="208"/>
      <c r="L388" s="288"/>
      <c r="M388" s="289"/>
      <c r="N388" s="290"/>
      <c r="O388" s="291"/>
      <c r="P388" s="291"/>
    </row>
    <row r="389" spans="1:16" ht="157.5" hidden="1">
      <c r="A389" s="286" t="s">
        <v>113</v>
      </c>
      <c r="B389" s="287">
        <v>4105</v>
      </c>
      <c r="C389" s="208"/>
      <c r="D389" s="208"/>
      <c r="E389" s="208"/>
      <c r="F389" s="208"/>
      <c r="G389" s="208"/>
      <c r="H389" s="208"/>
      <c r="I389" s="208"/>
      <c r="J389" s="208"/>
      <c r="K389" s="208"/>
      <c r="L389" s="288"/>
      <c r="M389" s="289"/>
      <c r="N389" s="290"/>
      <c r="O389" s="291"/>
      <c r="P389" s="291"/>
    </row>
    <row r="390" spans="1:16" ht="94.5" hidden="1">
      <c r="A390" s="286" t="s">
        <v>114</v>
      </c>
      <c r="B390" s="287">
        <v>4106</v>
      </c>
      <c r="C390" s="208"/>
      <c r="D390" s="208"/>
      <c r="E390" s="208"/>
      <c r="F390" s="208"/>
      <c r="G390" s="208"/>
      <c r="H390" s="208"/>
      <c r="I390" s="208"/>
      <c r="J390" s="208"/>
      <c r="K390" s="208"/>
      <c r="L390" s="288"/>
      <c r="M390" s="289"/>
      <c r="N390" s="290"/>
      <c r="O390" s="291"/>
      <c r="P390" s="291"/>
    </row>
    <row r="391" spans="1:16" ht="110.25" hidden="1">
      <c r="A391" s="286" t="s">
        <v>115</v>
      </c>
      <c r="B391" s="287">
        <v>4107</v>
      </c>
      <c r="C391" s="208"/>
      <c r="D391" s="208"/>
      <c r="E391" s="208"/>
      <c r="F391" s="208"/>
      <c r="G391" s="208"/>
      <c r="H391" s="208"/>
      <c r="I391" s="208"/>
      <c r="J391" s="208"/>
      <c r="K391" s="208"/>
      <c r="L391" s="288"/>
      <c r="M391" s="289"/>
      <c r="N391" s="290"/>
      <c r="O391" s="291"/>
      <c r="P391" s="291"/>
    </row>
    <row r="392" spans="1:16" ht="63" hidden="1">
      <c r="A392" s="286" t="s">
        <v>116</v>
      </c>
      <c r="B392" s="287">
        <v>4108</v>
      </c>
      <c r="C392" s="208"/>
      <c r="D392" s="208"/>
      <c r="E392" s="208"/>
      <c r="F392" s="208"/>
      <c r="G392" s="208"/>
      <c r="H392" s="208"/>
      <c r="I392" s="208"/>
      <c r="J392" s="208"/>
      <c r="K392" s="208"/>
      <c r="L392" s="288"/>
      <c r="M392" s="289"/>
      <c r="N392" s="290"/>
      <c r="O392" s="291"/>
      <c r="P392" s="291"/>
    </row>
    <row r="393" spans="1:16" ht="63" hidden="1">
      <c r="A393" s="286" t="s">
        <v>117</v>
      </c>
      <c r="B393" s="287">
        <v>4109</v>
      </c>
      <c r="C393" s="208"/>
      <c r="D393" s="208"/>
      <c r="E393" s="208"/>
      <c r="F393" s="208"/>
      <c r="G393" s="208"/>
      <c r="H393" s="208"/>
      <c r="I393" s="208"/>
      <c r="J393" s="208"/>
      <c r="K393" s="208"/>
      <c r="L393" s="288"/>
      <c r="M393" s="289"/>
      <c r="N393" s="290"/>
      <c r="O393" s="291"/>
      <c r="P393" s="291"/>
    </row>
    <row r="394" spans="1:16" ht="173.25" hidden="1">
      <c r="A394" s="286" t="s">
        <v>118</v>
      </c>
      <c r="B394" s="287">
        <v>4110</v>
      </c>
      <c r="C394" s="208"/>
      <c r="D394" s="208"/>
      <c r="E394" s="208"/>
      <c r="F394" s="208"/>
      <c r="G394" s="208"/>
      <c r="H394" s="208"/>
      <c r="I394" s="208"/>
      <c r="J394" s="208"/>
      <c r="K394" s="208"/>
      <c r="L394" s="288"/>
      <c r="M394" s="289"/>
      <c r="N394" s="290"/>
      <c r="O394" s="291"/>
      <c r="P394" s="291"/>
    </row>
    <row r="395" spans="1:16" ht="189" hidden="1">
      <c r="A395" s="286" t="s">
        <v>119</v>
      </c>
      <c r="B395" s="287">
        <v>4111</v>
      </c>
      <c r="C395" s="208"/>
      <c r="D395" s="208"/>
      <c r="E395" s="208"/>
      <c r="F395" s="208"/>
      <c r="G395" s="208"/>
      <c r="H395" s="208"/>
      <c r="I395" s="208"/>
      <c r="J395" s="208"/>
      <c r="K395" s="208"/>
      <c r="L395" s="288"/>
      <c r="M395" s="289"/>
      <c r="N395" s="290"/>
      <c r="O395" s="291"/>
      <c r="P395" s="291"/>
    </row>
    <row r="396" spans="1:16" ht="173.25" hidden="1">
      <c r="A396" s="286" t="s">
        <v>120</v>
      </c>
      <c r="B396" s="287">
        <v>4112</v>
      </c>
      <c r="C396" s="208"/>
      <c r="D396" s="208"/>
      <c r="E396" s="208"/>
      <c r="F396" s="208"/>
      <c r="G396" s="208"/>
      <c r="H396" s="208"/>
      <c r="I396" s="208"/>
      <c r="J396" s="208"/>
      <c r="K396" s="208"/>
      <c r="L396" s="288"/>
      <c r="M396" s="289"/>
      <c r="N396" s="290"/>
      <c r="O396" s="291"/>
      <c r="P396" s="291"/>
    </row>
    <row r="397" spans="1:16" ht="189" hidden="1">
      <c r="A397" s="286" t="s">
        <v>121</v>
      </c>
      <c r="B397" s="287">
        <v>4113</v>
      </c>
      <c r="C397" s="208"/>
      <c r="D397" s="208"/>
      <c r="E397" s="208"/>
      <c r="F397" s="208"/>
      <c r="G397" s="208"/>
      <c r="H397" s="208"/>
      <c r="I397" s="208"/>
      <c r="J397" s="208"/>
      <c r="K397" s="208"/>
      <c r="L397" s="288"/>
      <c r="M397" s="289"/>
      <c r="N397" s="290"/>
      <c r="O397" s="291"/>
      <c r="P397" s="291"/>
    </row>
    <row r="398" spans="1:16" ht="47.25" hidden="1">
      <c r="A398" s="286" t="s">
        <v>122</v>
      </c>
      <c r="B398" s="287">
        <v>4114</v>
      </c>
      <c r="C398" s="208"/>
      <c r="D398" s="208"/>
      <c r="E398" s="208"/>
      <c r="F398" s="208"/>
      <c r="G398" s="208"/>
      <c r="H398" s="208"/>
      <c r="I398" s="208"/>
      <c r="J398" s="208"/>
      <c r="K398" s="208"/>
      <c r="L398" s="288"/>
      <c r="M398" s="289"/>
      <c r="N398" s="290"/>
      <c r="O398" s="291"/>
      <c r="P398" s="291"/>
    </row>
    <row r="399" spans="1:16" ht="236.25" hidden="1">
      <c r="A399" s="286" t="s">
        <v>123</v>
      </c>
      <c r="B399" s="287">
        <v>4115</v>
      </c>
      <c r="C399" s="208"/>
      <c r="D399" s="208"/>
      <c r="E399" s="208"/>
      <c r="F399" s="208"/>
      <c r="G399" s="208"/>
      <c r="H399" s="208"/>
      <c r="I399" s="208"/>
      <c r="J399" s="208"/>
      <c r="K399" s="208"/>
      <c r="L399" s="288"/>
      <c r="M399" s="289"/>
      <c r="N399" s="290"/>
      <c r="O399" s="291"/>
      <c r="P399" s="291"/>
    </row>
    <row r="400" spans="1:16" ht="204.75" hidden="1">
      <c r="A400" s="286" t="s">
        <v>124</v>
      </c>
      <c r="B400" s="287">
        <v>4116</v>
      </c>
      <c r="C400" s="208"/>
      <c r="D400" s="208"/>
      <c r="E400" s="208"/>
      <c r="F400" s="208"/>
      <c r="G400" s="208"/>
      <c r="H400" s="208"/>
      <c r="I400" s="208"/>
      <c r="J400" s="208"/>
      <c r="K400" s="208"/>
      <c r="L400" s="288"/>
      <c r="M400" s="289"/>
      <c r="N400" s="290"/>
      <c r="O400" s="291"/>
      <c r="P400" s="291"/>
    </row>
    <row r="401" spans="1:16" ht="15.75" hidden="1">
      <c r="A401" s="286" t="s">
        <v>13</v>
      </c>
      <c r="B401" s="287">
        <v>4117</v>
      </c>
      <c r="C401" s="208"/>
      <c r="D401" s="208"/>
      <c r="E401" s="208"/>
      <c r="F401" s="208"/>
      <c r="G401" s="208"/>
      <c r="H401" s="208"/>
      <c r="I401" s="208"/>
      <c r="J401" s="208"/>
      <c r="K401" s="208"/>
      <c r="L401" s="288"/>
      <c r="M401" s="289"/>
      <c r="N401" s="290"/>
      <c r="O401" s="291"/>
      <c r="P401" s="291"/>
    </row>
    <row r="402" spans="1:16" ht="15.75" hidden="1">
      <c r="A402" s="286" t="s">
        <v>13</v>
      </c>
      <c r="B402" s="302">
        <v>4118</v>
      </c>
      <c r="C402" s="208"/>
      <c r="D402" s="208"/>
      <c r="E402" s="208"/>
      <c r="F402" s="208"/>
      <c r="G402" s="208"/>
      <c r="H402" s="208"/>
      <c r="I402" s="208"/>
      <c r="J402" s="208"/>
      <c r="K402" s="208"/>
      <c r="L402" s="288"/>
      <c r="M402" s="289"/>
      <c r="N402" s="290"/>
      <c r="O402" s="291"/>
      <c r="P402" s="291"/>
    </row>
    <row r="403" spans="1:16" ht="141.75" hidden="1">
      <c r="A403" s="294" t="s">
        <v>28</v>
      </c>
      <c r="B403" s="295">
        <v>4200</v>
      </c>
      <c r="C403" s="210" t="s">
        <v>12</v>
      </c>
      <c r="D403" s="211" t="s">
        <v>12</v>
      </c>
      <c r="E403" s="211" t="s">
        <v>12</v>
      </c>
      <c r="F403" s="210" t="s">
        <v>12</v>
      </c>
      <c r="G403" s="211" t="s">
        <v>12</v>
      </c>
      <c r="H403" s="211" t="s">
        <v>12</v>
      </c>
      <c r="I403" s="211"/>
      <c r="J403" s="211"/>
      <c r="K403" s="211"/>
      <c r="L403" s="296" t="s">
        <v>12</v>
      </c>
      <c r="M403" s="297" t="s">
        <v>12</v>
      </c>
      <c r="N403" s="298"/>
      <c r="O403" s="299">
        <f>O404+O418+O421</f>
        <v>0</v>
      </c>
      <c r="P403" s="299">
        <f>P404+P418+P421</f>
        <v>0</v>
      </c>
    </row>
    <row r="404" spans="1:16" ht="78.75" hidden="1">
      <c r="A404" s="294" t="s">
        <v>242</v>
      </c>
      <c r="B404" s="295">
        <v>4201</v>
      </c>
      <c r="C404" s="210" t="s">
        <v>12</v>
      </c>
      <c r="D404" s="211" t="s">
        <v>12</v>
      </c>
      <c r="E404" s="211" t="s">
        <v>12</v>
      </c>
      <c r="F404" s="210" t="s">
        <v>12</v>
      </c>
      <c r="G404" s="211" t="s">
        <v>12</v>
      </c>
      <c r="H404" s="211" t="s">
        <v>12</v>
      </c>
      <c r="I404" s="211"/>
      <c r="J404" s="211"/>
      <c r="K404" s="211"/>
      <c r="L404" s="296" t="s">
        <v>12</v>
      </c>
      <c r="M404" s="297" t="s">
        <v>12</v>
      </c>
      <c r="N404" s="298"/>
      <c r="O404" s="299">
        <f>SUM(O405:O417)</f>
        <v>0</v>
      </c>
      <c r="P404" s="299">
        <f>SUM(P405:P417)</f>
        <v>0</v>
      </c>
    </row>
    <row r="405" spans="1:16" ht="15.75" hidden="1">
      <c r="A405" s="286" t="s">
        <v>243</v>
      </c>
      <c r="B405" s="287">
        <v>4202</v>
      </c>
      <c r="C405" s="208"/>
      <c r="D405" s="208"/>
      <c r="E405" s="208"/>
      <c r="F405" s="208"/>
      <c r="G405" s="208"/>
      <c r="H405" s="208"/>
      <c r="I405" s="208"/>
      <c r="J405" s="208"/>
      <c r="K405" s="208"/>
      <c r="L405" s="288"/>
      <c r="M405" s="289"/>
      <c r="N405" s="290"/>
      <c r="O405" s="291"/>
      <c r="P405" s="291"/>
    </row>
    <row r="406" spans="1:16" ht="63" hidden="1">
      <c r="A406" s="286" t="s">
        <v>244</v>
      </c>
      <c r="B406" s="287">
        <v>4203</v>
      </c>
      <c r="C406" s="208"/>
      <c r="D406" s="208"/>
      <c r="E406" s="208"/>
      <c r="F406" s="208"/>
      <c r="G406" s="208"/>
      <c r="H406" s="208"/>
      <c r="I406" s="208"/>
      <c r="J406" s="208"/>
      <c r="K406" s="208"/>
      <c r="L406" s="288"/>
      <c r="M406" s="289"/>
      <c r="N406" s="290"/>
      <c r="O406" s="291"/>
      <c r="P406" s="291"/>
    </row>
    <row r="407" spans="1:16" ht="31.5" hidden="1">
      <c r="A407" s="286" t="s">
        <v>126</v>
      </c>
      <c r="B407" s="287">
        <v>4204</v>
      </c>
      <c r="C407" s="208"/>
      <c r="D407" s="208"/>
      <c r="E407" s="208"/>
      <c r="F407" s="208"/>
      <c r="G407" s="208"/>
      <c r="H407" s="208"/>
      <c r="I407" s="208"/>
      <c r="J407" s="208"/>
      <c r="K407" s="208"/>
      <c r="L407" s="288"/>
      <c r="M407" s="289"/>
      <c r="N407" s="290"/>
      <c r="O407" s="291"/>
      <c r="P407" s="291"/>
    </row>
    <row r="408" spans="1:16" ht="78.75" hidden="1">
      <c r="A408" s="286" t="s">
        <v>245</v>
      </c>
      <c r="B408" s="287">
        <v>4205</v>
      </c>
      <c r="C408" s="208"/>
      <c r="D408" s="208"/>
      <c r="E408" s="208"/>
      <c r="F408" s="208"/>
      <c r="G408" s="208"/>
      <c r="H408" s="208"/>
      <c r="I408" s="208"/>
      <c r="J408" s="208"/>
      <c r="K408" s="208"/>
      <c r="L408" s="288"/>
      <c r="M408" s="289"/>
      <c r="N408" s="290"/>
      <c r="O408" s="291"/>
      <c r="P408" s="291"/>
    </row>
    <row r="409" spans="1:16" ht="78.75" hidden="1">
      <c r="A409" s="286" t="s">
        <v>246</v>
      </c>
      <c r="B409" s="287">
        <v>4206</v>
      </c>
      <c r="C409" s="208"/>
      <c r="D409" s="208"/>
      <c r="E409" s="208"/>
      <c r="F409" s="208"/>
      <c r="G409" s="208"/>
      <c r="H409" s="208"/>
      <c r="I409" s="208"/>
      <c r="J409" s="208"/>
      <c r="K409" s="208"/>
      <c r="L409" s="288"/>
      <c r="M409" s="289"/>
      <c r="N409" s="290"/>
      <c r="O409" s="291"/>
      <c r="P409" s="291"/>
    </row>
    <row r="410" spans="1:16" ht="78.75" hidden="1">
      <c r="A410" s="286" t="s">
        <v>247</v>
      </c>
      <c r="B410" s="287">
        <v>4207</v>
      </c>
      <c r="C410" s="208"/>
      <c r="D410" s="208"/>
      <c r="E410" s="208"/>
      <c r="F410" s="208"/>
      <c r="G410" s="208"/>
      <c r="H410" s="208"/>
      <c r="I410" s="208"/>
      <c r="J410" s="208"/>
      <c r="K410" s="208"/>
      <c r="L410" s="288"/>
      <c r="M410" s="289"/>
      <c r="N410" s="290"/>
      <c r="O410" s="291"/>
      <c r="P410" s="291"/>
    </row>
    <row r="411" spans="1:16" ht="31.5" hidden="1">
      <c r="A411" s="286" t="s">
        <v>225</v>
      </c>
      <c r="B411" s="287">
        <v>4208</v>
      </c>
      <c r="C411" s="208"/>
      <c r="D411" s="208"/>
      <c r="E411" s="208"/>
      <c r="F411" s="208"/>
      <c r="G411" s="208"/>
      <c r="H411" s="208"/>
      <c r="I411" s="208"/>
      <c r="J411" s="208"/>
      <c r="K411" s="208"/>
      <c r="L411" s="288"/>
      <c r="M411" s="289"/>
      <c r="N411" s="290"/>
      <c r="O411" s="291"/>
      <c r="P411" s="291"/>
    </row>
    <row r="412" spans="1:16" ht="15.75" hidden="1">
      <c r="A412" s="286" t="s">
        <v>130</v>
      </c>
      <c r="B412" s="287">
        <v>4209</v>
      </c>
      <c r="C412" s="208"/>
      <c r="D412" s="208"/>
      <c r="E412" s="208"/>
      <c r="F412" s="208"/>
      <c r="G412" s="208"/>
      <c r="H412" s="208"/>
      <c r="I412" s="208"/>
      <c r="J412" s="208"/>
      <c r="K412" s="208"/>
      <c r="L412" s="288"/>
      <c r="M412" s="289"/>
      <c r="N412" s="290"/>
      <c r="O412" s="291"/>
      <c r="P412" s="291"/>
    </row>
    <row r="413" spans="1:16" ht="94.5" hidden="1">
      <c r="A413" s="286" t="s">
        <v>131</v>
      </c>
      <c r="B413" s="287">
        <v>4210</v>
      </c>
      <c r="C413" s="208"/>
      <c r="D413" s="208"/>
      <c r="E413" s="208"/>
      <c r="F413" s="208"/>
      <c r="G413" s="208"/>
      <c r="H413" s="208"/>
      <c r="I413" s="208"/>
      <c r="J413" s="208"/>
      <c r="K413" s="208"/>
      <c r="L413" s="288"/>
      <c r="M413" s="289"/>
      <c r="N413" s="290"/>
      <c r="O413" s="291"/>
      <c r="P413" s="291"/>
    </row>
    <row r="414" spans="1:16" ht="126" hidden="1">
      <c r="A414" s="286" t="s">
        <v>132</v>
      </c>
      <c r="B414" s="287">
        <v>4211</v>
      </c>
      <c r="C414" s="208"/>
      <c r="D414" s="208"/>
      <c r="E414" s="208"/>
      <c r="F414" s="208"/>
      <c r="G414" s="208"/>
      <c r="H414" s="208"/>
      <c r="I414" s="208"/>
      <c r="J414" s="208"/>
      <c r="K414" s="208"/>
      <c r="L414" s="288"/>
      <c r="M414" s="289"/>
      <c r="N414" s="290"/>
      <c r="O414" s="291"/>
      <c r="P414" s="291"/>
    </row>
    <row r="415" spans="1:16" ht="78.75" hidden="1">
      <c r="A415" s="286" t="s">
        <v>135</v>
      </c>
      <c r="B415" s="287">
        <v>4212</v>
      </c>
      <c r="C415" s="208"/>
      <c r="D415" s="208"/>
      <c r="E415" s="208"/>
      <c r="F415" s="208"/>
      <c r="G415" s="208"/>
      <c r="H415" s="208"/>
      <c r="I415" s="208"/>
      <c r="J415" s="208"/>
      <c r="K415" s="208"/>
      <c r="L415" s="288"/>
      <c r="M415" s="289"/>
      <c r="N415" s="290"/>
      <c r="O415" s="291"/>
      <c r="P415" s="291"/>
    </row>
    <row r="416" spans="1:16" ht="94.5" hidden="1">
      <c r="A416" s="286" t="s">
        <v>226</v>
      </c>
      <c r="B416" s="287">
        <v>4213</v>
      </c>
      <c r="C416" s="208"/>
      <c r="D416" s="208"/>
      <c r="E416" s="208"/>
      <c r="F416" s="208"/>
      <c r="G416" s="208"/>
      <c r="H416" s="208"/>
      <c r="I416" s="208"/>
      <c r="J416" s="208"/>
      <c r="K416" s="208"/>
      <c r="L416" s="288"/>
      <c r="M416" s="289"/>
      <c r="N416" s="290"/>
      <c r="O416" s="291"/>
      <c r="P416" s="291"/>
    </row>
    <row r="417" spans="1:16" ht="63" hidden="1">
      <c r="A417" s="286" t="s">
        <v>248</v>
      </c>
      <c r="B417" s="287">
        <v>4214</v>
      </c>
      <c r="C417" s="208"/>
      <c r="D417" s="208"/>
      <c r="E417" s="208"/>
      <c r="F417" s="208"/>
      <c r="G417" s="208"/>
      <c r="H417" s="208"/>
      <c r="I417" s="208"/>
      <c r="J417" s="208"/>
      <c r="K417" s="208"/>
      <c r="L417" s="288"/>
      <c r="M417" s="289"/>
      <c r="N417" s="290"/>
      <c r="O417" s="291"/>
      <c r="P417" s="291"/>
    </row>
    <row r="418" spans="1:16" ht="141.75" hidden="1">
      <c r="A418" s="294" t="s">
        <v>249</v>
      </c>
      <c r="B418" s="295">
        <v>4300</v>
      </c>
      <c r="C418" s="210" t="s">
        <v>12</v>
      </c>
      <c r="D418" s="211" t="s">
        <v>12</v>
      </c>
      <c r="E418" s="211" t="s">
        <v>12</v>
      </c>
      <c r="F418" s="210" t="s">
        <v>12</v>
      </c>
      <c r="G418" s="211" t="s">
        <v>12</v>
      </c>
      <c r="H418" s="211" t="s">
        <v>12</v>
      </c>
      <c r="I418" s="211"/>
      <c r="J418" s="211"/>
      <c r="K418" s="211"/>
      <c r="L418" s="296" t="s">
        <v>12</v>
      </c>
      <c r="M418" s="297" t="s">
        <v>12</v>
      </c>
      <c r="N418" s="298"/>
      <c r="O418" s="299">
        <f>SUM(O419:O420)</f>
        <v>0</v>
      </c>
      <c r="P418" s="299">
        <f>SUM(P419:P420)</f>
        <v>0</v>
      </c>
    </row>
    <row r="419" spans="1:16" ht="15.75" hidden="1">
      <c r="A419" s="286" t="s">
        <v>13</v>
      </c>
      <c r="B419" s="287">
        <v>4301</v>
      </c>
      <c r="C419" s="202"/>
      <c r="D419" s="216"/>
      <c r="E419" s="216"/>
      <c r="F419" s="202"/>
      <c r="G419" s="216"/>
      <c r="H419" s="216"/>
      <c r="I419" s="216"/>
      <c r="J419" s="216"/>
      <c r="K419" s="216"/>
      <c r="L419" s="292"/>
      <c r="M419" s="293"/>
      <c r="N419" s="290"/>
      <c r="O419" s="291"/>
      <c r="P419" s="291"/>
    </row>
    <row r="420" spans="1:16" ht="15.75" hidden="1">
      <c r="A420" s="286" t="s">
        <v>13</v>
      </c>
      <c r="B420" s="287">
        <v>4302</v>
      </c>
      <c r="C420" s="202"/>
      <c r="D420" s="216"/>
      <c r="E420" s="216"/>
      <c r="F420" s="202"/>
      <c r="G420" s="216"/>
      <c r="H420" s="216"/>
      <c r="I420" s="216"/>
      <c r="J420" s="216"/>
      <c r="K420" s="216"/>
      <c r="L420" s="292"/>
      <c r="M420" s="293"/>
      <c r="N420" s="290"/>
      <c r="O420" s="291"/>
      <c r="P420" s="291"/>
    </row>
    <row r="421" spans="1:16" ht="126" hidden="1">
      <c r="A421" s="294" t="s">
        <v>250</v>
      </c>
      <c r="B421" s="295">
        <v>4400</v>
      </c>
      <c r="C421" s="210" t="s">
        <v>12</v>
      </c>
      <c r="D421" s="211" t="s">
        <v>12</v>
      </c>
      <c r="E421" s="211" t="s">
        <v>12</v>
      </c>
      <c r="F421" s="210" t="s">
        <v>12</v>
      </c>
      <c r="G421" s="211" t="s">
        <v>12</v>
      </c>
      <c r="H421" s="211" t="s">
        <v>12</v>
      </c>
      <c r="I421" s="211"/>
      <c r="J421" s="211"/>
      <c r="K421" s="211"/>
      <c r="L421" s="296" t="s">
        <v>12</v>
      </c>
      <c r="M421" s="297" t="s">
        <v>12</v>
      </c>
      <c r="N421" s="298"/>
      <c r="O421" s="299">
        <f>SUM(O422:O423)</f>
        <v>0</v>
      </c>
      <c r="P421" s="299">
        <f>SUM(P422:P423)</f>
        <v>0</v>
      </c>
    </row>
    <row r="422" spans="1:16" ht="15.75" hidden="1">
      <c r="A422" s="286" t="s">
        <v>13</v>
      </c>
      <c r="B422" s="287">
        <v>4401</v>
      </c>
      <c r="C422" s="202"/>
      <c r="D422" s="216"/>
      <c r="E422" s="216"/>
      <c r="F422" s="202"/>
      <c r="G422" s="216"/>
      <c r="H422" s="216"/>
      <c r="I422" s="216"/>
      <c r="J422" s="216"/>
      <c r="K422" s="216"/>
      <c r="L422" s="292"/>
      <c r="M422" s="293"/>
      <c r="N422" s="290"/>
      <c r="O422" s="291"/>
      <c r="P422" s="291"/>
    </row>
    <row r="423" spans="1:16" ht="15.75" hidden="1">
      <c r="A423" s="286" t="s">
        <v>13</v>
      </c>
      <c r="B423" s="287">
        <v>4402</v>
      </c>
      <c r="C423" s="202"/>
      <c r="D423" s="216"/>
      <c r="E423" s="216"/>
      <c r="F423" s="202"/>
      <c r="G423" s="216"/>
      <c r="H423" s="216"/>
      <c r="I423" s="216"/>
      <c r="J423" s="216"/>
      <c r="K423" s="216"/>
      <c r="L423" s="292"/>
      <c r="M423" s="293"/>
      <c r="N423" s="290"/>
      <c r="O423" s="291"/>
      <c r="P423" s="291"/>
    </row>
    <row r="424" spans="1:16" ht="173.25" hidden="1">
      <c r="A424" s="294" t="s">
        <v>29</v>
      </c>
      <c r="B424" s="295">
        <v>4500</v>
      </c>
      <c r="C424" s="210" t="s">
        <v>12</v>
      </c>
      <c r="D424" s="211" t="s">
        <v>12</v>
      </c>
      <c r="E424" s="211" t="s">
        <v>12</v>
      </c>
      <c r="F424" s="210" t="s">
        <v>12</v>
      </c>
      <c r="G424" s="211" t="s">
        <v>12</v>
      </c>
      <c r="H424" s="211" t="s">
        <v>12</v>
      </c>
      <c r="I424" s="211"/>
      <c r="J424" s="211"/>
      <c r="K424" s="211"/>
      <c r="L424" s="296" t="s">
        <v>12</v>
      </c>
      <c r="M424" s="297" t="s">
        <v>12</v>
      </c>
      <c r="N424" s="298"/>
      <c r="O424" s="299">
        <f>O425+O463</f>
        <v>0</v>
      </c>
      <c r="P424" s="299">
        <f>P425+P463</f>
        <v>0</v>
      </c>
    </row>
    <row r="425" spans="1:16" ht="63" hidden="1">
      <c r="A425" s="294" t="s">
        <v>251</v>
      </c>
      <c r="B425" s="295">
        <v>4501</v>
      </c>
      <c r="C425" s="210" t="s">
        <v>12</v>
      </c>
      <c r="D425" s="211" t="s">
        <v>12</v>
      </c>
      <c r="E425" s="211" t="s">
        <v>12</v>
      </c>
      <c r="F425" s="210" t="s">
        <v>12</v>
      </c>
      <c r="G425" s="211" t="s">
        <v>12</v>
      </c>
      <c r="H425" s="211" t="s">
        <v>12</v>
      </c>
      <c r="I425" s="211"/>
      <c r="J425" s="211"/>
      <c r="K425" s="211"/>
      <c r="L425" s="296" t="s">
        <v>12</v>
      </c>
      <c r="M425" s="297" t="s">
        <v>12</v>
      </c>
      <c r="N425" s="298"/>
      <c r="O425" s="299">
        <f>SUM(O426:O462)</f>
        <v>0</v>
      </c>
      <c r="P425" s="299">
        <f>SUM(P426:P462)</f>
        <v>0</v>
      </c>
    </row>
    <row r="426" spans="1:16" ht="78.75" hidden="1">
      <c r="A426" s="286" t="s">
        <v>141</v>
      </c>
      <c r="B426" s="287">
        <v>4502</v>
      </c>
      <c r="C426" s="202"/>
      <c r="D426" s="216"/>
      <c r="E426" s="216"/>
      <c r="F426" s="202"/>
      <c r="G426" s="216"/>
      <c r="H426" s="216"/>
      <c r="I426" s="216"/>
      <c r="J426" s="216"/>
      <c r="K426" s="216"/>
      <c r="L426" s="292"/>
      <c r="M426" s="293"/>
      <c r="N426" s="290"/>
      <c r="O426" s="291"/>
      <c r="P426" s="291"/>
    </row>
    <row r="427" spans="1:16" ht="78.75" hidden="1">
      <c r="A427" s="286" t="s">
        <v>142</v>
      </c>
      <c r="B427" s="287">
        <v>4503</v>
      </c>
      <c r="C427" s="202"/>
      <c r="D427" s="216"/>
      <c r="E427" s="216"/>
      <c r="F427" s="202"/>
      <c r="G427" s="216"/>
      <c r="H427" s="216"/>
      <c r="I427" s="216"/>
      <c r="J427" s="216"/>
      <c r="K427" s="216"/>
      <c r="L427" s="292"/>
      <c r="M427" s="293"/>
      <c r="N427" s="290"/>
      <c r="O427" s="291"/>
      <c r="P427" s="291"/>
    </row>
    <row r="428" spans="1:16" ht="94.5" hidden="1">
      <c r="A428" s="286" t="s">
        <v>143</v>
      </c>
      <c r="B428" s="287">
        <v>4504</v>
      </c>
      <c r="C428" s="202"/>
      <c r="D428" s="216"/>
      <c r="E428" s="216"/>
      <c r="F428" s="202"/>
      <c r="G428" s="216"/>
      <c r="H428" s="216"/>
      <c r="I428" s="216"/>
      <c r="J428" s="216"/>
      <c r="K428" s="216"/>
      <c r="L428" s="292"/>
      <c r="M428" s="293"/>
      <c r="N428" s="290"/>
      <c r="O428" s="291"/>
      <c r="P428" s="291"/>
    </row>
    <row r="429" spans="1:16" ht="78.75" hidden="1">
      <c r="A429" s="286" t="s">
        <v>144</v>
      </c>
      <c r="B429" s="287">
        <v>4505</v>
      </c>
      <c r="C429" s="202"/>
      <c r="D429" s="216"/>
      <c r="E429" s="216"/>
      <c r="F429" s="202"/>
      <c r="G429" s="216"/>
      <c r="H429" s="216"/>
      <c r="I429" s="216"/>
      <c r="J429" s="216"/>
      <c r="K429" s="216"/>
      <c r="L429" s="292"/>
      <c r="M429" s="293"/>
      <c r="N429" s="290"/>
      <c r="O429" s="291"/>
      <c r="P429" s="291"/>
    </row>
    <row r="430" spans="1:16" ht="47.25" hidden="1">
      <c r="A430" s="286" t="s">
        <v>145</v>
      </c>
      <c r="B430" s="287">
        <v>4506</v>
      </c>
      <c r="C430" s="202"/>
      <c r="D430" s="216"/>
      <c r="E430" s="216"/>
      <c r="F430" s="202"/>
      <c r="G430" s="216"/>
      <c r="H430" s="216"/>
      <c r="I430" s="216"/>
      <c r="J430" s="216"/>
      <c r="K430" s="216"/>
      <c r="L430" s="292"/>
      <c r="M430" s="293"/>
      <c r="N430" s="290"/>
      <c r="O430" s="291"/>
      <c r="P430" s="291"/>
    </row>
    <row r="431" spans="1:16" ht="31.5" hidden="1">
      <c r="A431" s="286" t="s">
        <v>146</v>
      </c>
      <c r="B431" s="287">
        <v>4507</v>
      </c>
      <c r="C431" s="202"/>
      <c r="D431" s="216"/>
      <c r="E431" s="216"/>
      <c r="F431" s="202"/>
      <c r="G431" s="216"/>
      <c r="H431" s="216"/>
      <c r="I431" s="216"/>
      <c r="J431" s="216"/>
      <c r="K431" s="216"/>
      <c r="L431" s="292"/>
      <c r="M431" s="293"/>
      <c r="N431" s="290"/>
      <c r="O431" s="291"/>
      <c r="P431" s="291"/>
    </row>
    <row r="432" spans="1:16" ht="47.25" hidden="1">
      <c r="A432" s="286" t="s">
        <v>147</v>
      </c>
      <c r="B432" s="287">
        <v>4508</v>
      </c>
      <c r="C432" s="202"/>
      <c r="D432" s="216"/>
      <c r="E432" s="216"/>
      <c r="F432" s="202"/>
      <c r="G432" s="216"/>
      <c r="H432" s="216"/>
      <c r="I432" s="216"/>
      <c r="J432" s="216"/>
      <c r="K432" s="216"/>
      <c r="L432" s="292"/>
      <c r="M432" s="293"/>
      <c r="N432" s="290"/>
      <c r="O432" s="291"/>
      <c r="P432" s="291"/>
    </row>
    <row r="433" spans="1:16" ht="47.25" hidden="1">
      <c r="A433" s="286" t="s">
        <v>148</v>
      </c>
      <c r="B433" s="287">
        <v>4509</v>
      </c>
      <c r="C433" s="202"/>
      <c r="D433" s="216"/>
      <c r="E433" s="216"/>
      <c r="F433" s="202"/>
      <c r="G433" s="216"/>
      <c r="H433" s="216"/>
      <c r="I433" s="216"/>
      <c r="J433" s="216"/>
      <c r="K433" s="216"/>
      <c r="L433" s="292"/>
      <c r="M433" s="293"/>
      <c r="N433" s="290"/>
      <c r="O433" s="291"/>
      <c r="P433" s="291"/>
    </row>
    <row r="434" spans="1:16" ht="31.5" hidden="1">
      <c r="A434" s="286" t="s">
        <v>149</v>
      </c>
      <c r="B434" s="287">
        <v>4510</v>
      </c>
      <c r="C434" s="202"/>
      <c r="D434" s="216"/>
      <c r="E434" s="216"/>
      <c r="F434" s="202"/>
      <c r="G434" s="216"/>
      <c r="H434" s="216"/>
      <c r="I434" s="216"/>
      <c r="J434" s="216"/>
      <c r="K434" s="216"/>
      <c r="L434" s="292"/>
      <c r="M434" s="293"/>
      <c r="N434" s="290"/>
      <c r="O434" s="291"/>
      <c r="P434" s="291"/>
    </row>
    <row r="435" spans="1:16" ht="63" hidden="1">
      <c r="A435" s="286" t="s">
        <v>150</v>
      </c>
      <c r="B435" s="287">
        <v>4511</v>
      </c>
      <c r="C435" s="202"/>
      <c r="D435" s="216"/>
      <c r="E435" s="216"/>
      <c r="F435" s="202"/>
      <c r="G435" s="216"/>
      <c r="H435" s="216"/>
      <c r="I435" s="216"/>
      <c r="J435" s="216"/>
      <c r="K435" s="216"/>
      <c r="L435" s="292"/>
      <c r="M435" s="293"/>
      <c r="N435" s="290"/>
      <c r="O435" s="291"/>
      <c r="P435" s="291"/>
    </row>
    <row r="436" spans="1:16" ht="31.5" hidden="1">
      <c r="A436" s="286" t="s">
        <v>151</v>
      </c>
      <c r="B436" s="287">
        <v>4512</v>
      </c>
      <c r="C436" s="202"/>
      <c r="D436" s="216"/>
      <c r="E436" s="216"/>
      <c r="F436" s="202"/>
      <c r="G436" s="216"/>
      <c r="H436" s="216"/>
      <c r="I436" s="216"/>
      <c r="J436" s="216"/>
      <c r="K436" s="216"/>
      <c r="L436" s="292"/>
      <c r="M436" s="293"/>
      <c r="N436" s="290"/>
      <c r="O436" s="291"/>
      <c r="P436" s="291"/>
    </row>
    <row r="437" spans="1:16" ht="94.5" hidden="1">
      <c r="A437" s="286" t="s">
        <v>181</v>
      </c>
      <c r="B437" s="287">
        <v>4513</v>
      </c>
      <c r="C437" s="202"/>
      <c r="D437" s="216"/>
      <c r="E437" s="216"/>
      <c r="F437" s="202"/>
      <c r="G437" s="216"/>
      <c r="H437" s="216"/>
      <c r="I437" s="216"/>
      <c r="J437" s="216"/>
      <c r="K437" s="216"/>
      <c r="L437" s="292"/>
      <c r="M437" s="293"/>
      <c r="N437" s="290"/>
      <c r="O437" s="291"/>
      <c r="P437" s="291"/>
    </row>
    <row r="438" spans="1:16" ht="63" hidden="1">
      <c r="A438" s="286" t="s">
        <v>152</v>
      </c>
      <c r="B438" s="287">
        <v>4514</v>
      </c>
      <c r="C438" s="202"/>
      <c r="D438" s="216"/>
      <c r="E438" s="216"/>
      <c r="F438" s="202"/>
      <c r="G438" s="216"/>
      <c r="H438" s="216"/>
      <c r="I438" s="216"/>
      <c r="J438" s="216"/>
      <c r="K438" s="216"/>
      <c r="L438" s="292"/>
      <c r="M438" s="293"/>
      <c r="N438" s="290"/>
      <c r="O438" s="291"/>
      <c r="P438" s="291"/>
    </row>
    <row r="439" spans="1:16" ht="47.25" hidden="1">
      <c r="A439" s="286" t="s">
        <v>153</v>
      </c>
      <c r="B439" s="287">
        <v>4515</v>
      </c>
      <c r="C439" s="202"/>
      <c r="D439" s="216"/>
      <c r="E439" s="216"/>
      <c r="F439" s="202"/>
      <c r="G439" s="216"/>
      <c r="H439" s="216"/>
      <c r="I439" s="216"/>
      <c r="J439" s="216"/>
      <c r="K439" s="216"/>
      <c r="L439" s="292"/>
      <c r="M439" s="293"/>
      <c r="N439" s="290"/>
      <c r="O439" s="291"/>
      <c r="P439" s="291"/>
    </row>
    <row r="440" spans="1:16" ht="126" hidden="1">
      <c r="A440" s="286" t="s">
        <v>154</v>
      </c>
      <c r="B440" s="287">
        <v>4516</v>
      </c>
      <c r="C440" s="202"/>
      <c r="D440" s="216"/>
      <c r="E440" s="216"/>
      <c r="F440" s="202"/>
      <c r="G440" s="216"/>
      <c r="H440" s="216"/>
      <c r="I440" s="216"/>
      <c r="J440" s="216"/>
      <c r="K440" s="216"/>
      <c r="L440" s="292"/>
      <c r="M440" s="293"/>
      <c r="N440" s="290"/>
      <c r="O440" s="291"/>
      <c r="P440" s="291"/>
    </row>
    <row r="441" spans="1:16" ht="47.25" hidden="1">
      <c r="A441" s="286" t="s">
        <v>155</v>
      </c>
      <c r="B441" s="287">
        <v>4517</v>
      </c>
      <c r="C441" s="202"/>
      <c r="D441" s="216"/>
      <c r="E441" s="216"/>
      <c r="F441" s="202"/>
      <c r="G441" s="216"/>
      <c r="H441" s="216"/>
      <c r="I441" s="216"/>
      <c r="J441" s="216"/>
      <c r="K441" s="216"/>
      <c r="L441" s="292"/>
      <c r="M441" s="293"/>
      <c r="N441" s="290"/>
      <c r="O441" s="291"/>
      <c r="P441" s="291"/>
    </row>
    <row r="442" spans="1:16" ht="78.75" hidden="1">
      <c r="A442" s="286" t="s">
        <v>156</v>
      </c>
      <c r="B442" s="287">
        <v>4518</v>
      </c>
      <c r="C442" s="202"/>
      <c r="D442" s="216"/>
      <c r="E442" s="216"/>
      <c r="F442" s="202"/>
      <c r="G442" s="216"/>
      <c r="H442" s="216"/>
      <c r="I442" s="216"/>
      <c r="J442" s="216"/>
      <c r="K442" s="216"/>
      <c r="L442" s="292"/>
      <c r="M442" s="293"/>
      <c r="N442" s="290"/>
      <c r="O442" s="291"/>
      <c r="P442" s="291"/>
    </row>
    <row r="443" spans="1:16" ht="47.25" hidden="1">
      <c r="A443" s="286" t="s">
        <v>157</v>
      </c>
      <c r="B443" s="287">
        <v>4519</v>
      </c>
      <c r="C443" s="202"/>
      <c r="D443" s="216"/>
      <c r="E443" s="216"/>
      <c r="F443" s="202"/>
      <c r="G443" s="216"/>
      <c r="H443" s="216"/>
      <c r="I443" s="216"/>
      <c r="J443" s="216"/>
      <c r="K443" s="216"/>
      <c r="L443" s="292"/>
      <c r="M443" s="293"/>
      <c r="N443" s="290"/>
      <c r="O443" s="291"/>
      <c r="P443" s="291"/>
    </row>
    <row r="444" spans="1:16" ht="110.25" hidden="1">
      <c r="A444" s="286" t="s">
        <v>158</v>
      </c>
      <c r="B444" s="287">
        <v>4520</v>
      </c>
      <c r="C444" s="202"/>
      <c r="D444" s="216"/>
      <c r="E444" s="216"/>
      <c r="F444" s="202"/>
      <c r="G444" s="216"/>
      <c r="H444" s="216"/>
      <c r="I444" s="216"/>
      <c r="J444" s="216"/>
      <c r="K444" s="216"/>
      <c r="L444" s="292"/>
      <c r="M444" s="293"/>
      <c r="N444" s="290"/>
      <c r="O444" s="291"/>
      <c r="P444" s="291"/>
    </row>
    <row r="445" spans="1:16" ht="220.5" hidden="1">
      <c r="A445" s="286" t="s">
        <v>159</v>
      </c>
      <c r="B445" s="287">
        <v>4521</v>
      </c>
      <c r="C445" s="202"/>
      <c r="D445" s="216"/>
      <c r="E445" s="216"/>
      <c r="F445" s="202"/>
      <c r="G445" s="216"/>
      <c r="H445" s="216"/>
      <c r="I445" s="216"/>
      <c r="J445" s="216"/>
      <c r="K445" s="216"/>
      <c r="L445" s="292"/>
      <c r="M445" s="293"/>
      <c r="N445" s="290"/>
      <c r="O445" s="291"/>
      <c r="P445" s="291"/>
    </row>
    <row r="446" spans="1:16" ht="63" hidden="1">
      <c r="A446" s="286" t="s">
        <v>160</v>
      </c>
      <c r="B446" s="287">
        <v>4522</v>
      </c>
      <c r="C446" s="202"/>
      <c r="D446" s="216"/>
      <c r="E446" s="216"/>
      <c r="F446" s="202"/>
      <c r="G446" s="216"/>
      <c r="H446" s="216"/>
      <c r="I446" s="216"/>
      <c r="J446" s="216"/>
      <c r="K446" s="216"/>
      <c r="L446" s="292"/>
      <c r="M446" s="293"/>
      <c r="N446" s="290"/>
      <c r="O446" s="291"/>
      <c r="P446" s="291"/>
    </row>
    <row r="447" spans="1:16" ht="47.25" hidden="1">
      <c r="A447" s="286" t="s">
        <v>157</v>
      </c>
      <c r="B447" s="287">
        <v>4523</v>
      </c>
      <c r="C447" s="202"/>
      <c r="D447" s="216"/>
      <c r="E447" s="216"/>
      <c r="F447" s="202"/>
      <c r="G447" s="216"/>
      <c r="H447" s="216"/>
      <c r="I447" s="216"/>
      <c r="J447" s="216"/>
      <c r="K447" s="216"/>
      <c r="L447" s="292"/>
      <c r="M447" s="293"/>
      <c r="N447" s="290"/>
      <c r="O447" s="291"/>
      <c r="P447" s="291"/>
    </row>
    <row r="448" spans="1:16" ht="31.5" hidden="1">
      <c r="A448" s="286" t="s">
        <v>161</v>
      </c>
      <c r="B448" s="287">
        <v>4524</v>
      </c>
      <c r="C448" s="202"/>
      <c r="D448" s="216"/>
      <c r="E448" s="216"/>
      <c r="F448" s="202"/>
      <c r="G448" s="216"/>
      <c r="H448" s="216"/>
      <c r="I448" s="216"/>
      <c r="J448" s="216"/>
      <c r="K448" s="216"/>
      <c r="L448" s="292"/>
      <c r="M448" s="293"/>
      <c r="N448" s="290"/>
      <c r="O448" s="291"/>
      <c r="P448" s="291"/>
    </row>
    <row r="449" spans="1:16" ht="78.75" hidden="1">
      <c r="A449" s="286" t="s">
        <v>162</v>
      </c>
      <c r="B449" s="287">
        <v>4525</v>
      </c>
      <c r="C449" s="202"/>
      <c r="D449" s="216"/>
      <c r="E449" s="216"/>
      <c r="F449" s="202"/>
      <c r="G449" s="216"/>
      <c r="H449" s="216"/>
      <c r="I449" s="216"/>
      <c r="J449" s="216"/>
      <c r="K449" s="216"/>
      <c r="L449" s="292"/>
      <c r="M449" s="293"/>
      <c r="N449" s="290"/>
      <c r="O449" s="291"/>
      <c r="P449" s="291"/>
    </row>
    <row r="450" spans="1:16" ht="47.25" hidden="1">
      <c r="A450" s="286" t="s">
        <v>157</v>
      </c>
      <c r="B450" s="287">
        <v>4526</v>
      </c>
      <c r="C450" s="202"/>
      <c r="D450" s="216"/>
      <c r="E450" s="216"/>
      <c r="F450" s="202"/>
      <c r="G450" s="216"/>
      <c r="H450" s="216"/>
      <c r="I450" s="216"/>
      <c r="J450" s="216"/>
      <c r="K450" s="216"/>
      <c r="L450" s="292"/>
      <c r="M450" s="293"/>
      <c r="N450" s="290"/>
      <c r="O450" s="291"/>
      <c r="P450" s="291"/>
    </row>
    <row r="451" spans="1:16" ht="94.5" hidden="1">
      <c r="A451" s="286" t="s">
        <v>163</v>
      </c>
      <c r="B451" s="287">
        <v>4527</v>
      </c>
      <c r="C451" s="202"/>
      <c r="D451" s="216"/>
      <c r="E451" s="216"/>
      <c r="F451" s="202"/>
      <c r="G451" s="216"/>
      <c r="H451" s="216"/>
      <c r="I451" s="216"/>
      <c r="J451" s="216"/>
      <c r="K451" s="216"/>
      <c r="L451" s="292"/>
      <c r="M451" s="293"/>
      <c r="N451" s="290"/>
      <c r="O451" s="291"/>
      <c r="P451" s="291"/>
    </row>
    <row r="452" spans="1:16" ht="126" hidden="1">
      <c r="A452" s="286" t="s">
        <v>164</v>
      </c>
      <c r="B452" s="287">
        <v>4528</v>
      </c>
      <c r="C452" s="202"/>
      <c r="D452" s="216"/>
      <c r="E452" s="216"/>
      <c r="F452" s="202"/>
      <c r="G452" s="216"/>
      <c r="H452" s="216"/>
      <c r="I452" s="216"/>
      <c r="J452" s="216"/>
      <c r="K452" s="216"/>
      <c r="L452" s="292"/>
      <c r="M452" s="293"/>
      <c r="N452" s="290"/>
      <c r="O452" s="291"/>
      <c r="P452" s="291"/>
    </row>
    <row r="453" spans="1:16" ht="126" hidden="1">
      <c r="A453" s="286" t="s">
        <v>165</v>
      </c>
      <c r="B453" s="287">
        <v>4529</v>
      </c>
      <c r="C453" s="202"/>
      <c r="D453" s="216"/>
      <c r="E453" s="216"/>
      <c r="F453" s="202"/>
      <c r="G453" s="216"/>
      <c r="H453" s="216"/>
      <c r="I453" s="216"/>
      <c r="J453" s="216"/>
      <c r="K453" s="216"/>
      <c r="L453" s="292"/>
      <c r="M453" s="293"/>
      <c r="N453" s="290"/>
      <c r="O453" s="291"/>
      <c r="P453" s="291"/>
    </row>
    <row r="454" spans="1:16" ht="78.75" hidden="1">
      <c r="A454" s="286" t="s">
        <v>166</v>
      </c>
      <c r="B454" s="287">
        <v>4530</v>
      </c>
      <c r="C454" s="202"/>
      <c r="D454" s="216"/>
      <c r="E454" s="216"/>
      <c r="F454" s="202"/>
      <c r="G454" s="216"/>
      <c r="H454" s="216"/>
      <c r="I454" s="216"/>
      <c r="J454" s="216"/>
      <c r="K454" s="216"/>
      <c r="L454" s="292"/>
      <c r="M454" s="293"/>
      <c r="N454" s="290"/>
      <c r="O454" s="291"/>
      <c r="P454" s="291"/>
    </row>
    <row r="455" spans="1:16" ht="126" hidden="1">
      <c r="A455" s="286" t="s">
        <v>167</v>
      </c>
      <c r="B455" s="287">
        <v>4531</v>
      </c>
      <c r="C455" s="202"/>
      <c r="D455" s="216"/>
      <c r="E455" s="216"/>
      <c r="F455" s="202"/>
      <c r="G455" s="216"/>
      <c r="H455" s="216"/>
      <c r="I455" s="216"/>
      <c r="J455" s="216"/>
      <c r="K455" s="216"/>
      <c r="L455" s="292"/>
      <c r="M455" s="293"/>
      <c r="N455" s="290"/>
      <c r="O455" s="291"/>
      <c r="P455" s="291"/>
    </row>
    <row r="456" spans="1:16" ht="94.5" hidden="1">
      <c r="A456" s="286" t="s">
        <v>168</v>
      </c>
      <c r="B456" s="287">
        <v>4532</v>
      </c>
      <c r="C456" s="202"/>
      <c r="D456" s="216"/>
      <c r="E456" s="216"/>
      <c r="F456" s="202"/>
      <c r="G456" s="216"/>
      <c r="H456" s="216"/>
      <c r="I456" s="216"/>
      <c r="J456" s="216"/>
      <c r="K456" s="216"/>
      <c r="L456" s="292"/>
      <c r="M456" s="293"/>
      <c r="N456" s="290"/>
      <c r="O456" s="291"/>
      <c r="P456" s="291"/>
    </row>
    <row r="457" spans="1:16" ht="47.25" hidden="1">
      <c r="A457" s="286" t="s">
        <v>169</v>
      </c>
      <c r="B457" s="287">
        <v>4533</v>
      </c>
      <c r="C457" s="202"/>
      <c r="D457" s="216"/>
      <c r="E457" s="216"/>
      <c r="F457" s="202"/>
      <c r="G457" s="216"/>
      <c r="H457" s="216"/>
      <c r="I457" s="216"/>
      <c r="J457" s="216"/>
      <c r="K457" s="216"/>
      <c r="L457" s="292"/>
      <c r="M457" s="293"/>
      <c r="N457" s="290"/>
      <c r="O457" s="291"/>
      <c r="P457" s="291"/>
    </row>
    <row r="458" spans="1:16" ht="31.5" hidden="1">
      <c r="A458" s="286" t="s">
        <v>170</v>
      </c>
      <c r="B458" s="287">
        <v>4534</v>
      </c>
      <c r="C458" s="202"/>
      <c r="D458" s="216"/>
      <c r="E458" s="216"/>
      <c r="F458" s="202"/>
      <c r="G458" s="216"/>
      <c r="H458" s="216"/>
      <c r="I458" s="216"/>
      <c r="J458" s="216"/>
      <c r="K458" s="216"/>
      <c r="L458" s="292"/>
      <c r="M458" s="293"/>
      <c r="N458" s="290"/>
      <c r="O458" s="291"/>
      <c r="P458" s="291"/>
    </row>
    <row r="459" spans="1:16" ht="94.5" hidden="1">
      <c r="A459" s="286" t="s">
        <v>171</v>
      </c>
      <c r="B459" s="287">
        <v>4535</v>
      </c>
      <c r="C459" s="202"/>
      <c r="D459" s="216"/>
      <c r="E459" s="216"/>
      <c r="F459" s="202"/>
      <c r="G459" s="216"/>
      <c r="H459" s="216"/>
      <c r="I459" s="216"/>
      <c r="J459" s="216"/>
      <c r="K459" s="216"/>
      <c r="L459" s="292"/>
      <c r="M459" s="293"/>
      <c r="N459" s="290"/>
      <c r="O459" s="291"/>
      <c r="P459" s="291"/>
    </row>
    <row r="460" spans="1:16" ht="47.25" hidden="1">
      <c r="A460" s="286" t="s">
        <v>172</v>
      </c>
      <c r="B460" s="287">
        <v>4536</v>
      </c>
      <c r="C460" s="202"/>
      <c r="D460" s="216"/>
      <c r="E460" s="216"/>
      <c r="F460" s="202"/>
      <c r="G460" s="216"/>
      <c r="H460" s="216"/>
      <c r="I460" s="216"/>
      <c r="J460" s="216"/>
      <c r="K460" s="216"/>
      <c r="L460" s="292"/>
      <c r="M460" s="293"/>
      <c r="N460" s="290"/>
      <c r="O460" s="291"/>
      <c r="P460" s="291"/>
    </row>
    <row r="461" spans="1:16" ht="15.75" hidden="1">
      <c r="A461" s="286" t="s">
        <v>13</v>
      </c>
      <c r="B461" s="287">
        <v>4537</v>
      </c>
      <c r="C461" s="202"/>
      <c r="D461" s="216"/>
      <c r="E461" s="216"/>
      <c r="F461" s="202"/>
      <c r="G461" s="216"/>
      <c r="H461" s="216"/>
      <c r="I461" s="216"/>
      <c r="J461" s="216"/>
      <c r="K461" s="216"/>
      <c r="L461" s="292"/>
      <c r="M461" s="293"/>
      <c r="N461" s="290"/>
      <c r="O461" s="291"/>
      <c r="P461" s="291"/>
    </row>
    <row r="462" spans="1:16" ht="15.75" hidden="1">
      <c r="A462" s="286" t="s">
        <v>13</v>
      </c>
      <c r="B462" s="287">
        <v>4538</v>
      </c>
      <c r="C462" s="202"/>
      <c r="D462" s="216"/>
      <c r="E462" s="216"/>
      <c r="F462" s="202"/>
      <c r="G462" s="216"/>
      <c r="H462" s="216"/>
      <c r="I462" s="216"/>
      <c r="J462" s="216"/>
      <c r="K462" s="216"/>
      <c r="L462" s="292"/>
      <c r="M462" s="293"/>
      <c r="N462" s="290"/>
      <c r="O462" s="291"/>
      <c r="P462" s="291"/>
    </row>
    <row r="463" spans="1:16" ht="63" hidden="1">
      <c r="A463" s="294" t="s">
        <v>252</v>
      </c>
      <c r="B463" s="295">
        <v>4600</v>
      </c>
      <c r="C463" s="210" t="s">
        <v>12</v>
      </c>
      <c r="D463" s="211" t="s">
        <v>12</v>
      </c>
      <c r="E463" s="211" t="s">
        <v>12</v>
      </c>
      <c r="F463" s="210" t="s">
        <v>12</v>
      </c>
      <c r="G463" s="211" t="s">
        <v>12</v>
      </c>
      <c r="H463" s="211" t="s">
        <v>12</v>
      </c>
      <c r="I463" s="211"/>
      <c r="J463" s="211"/>
      <c r="K463" s="211"/>
      <c r="L463" s="296" t="s">
        <v>12</v>
      </c>
      <c r="M463" s="297" t="s">
        <v>12</v>
      </c>
      <c r="N463" s="298"/>
      <c r="O463" s="299">
        <f>SUM(O464:O465)</f>
        <v>0</v>
      </c>
      <c r="P463" s="299">
        <f>SUM(P464:P465)</f>
        <v>0</v>
      </c>
    </row>
    <row r="464" spans="1:16" ht="15.75" hidden="1">
      <c r="A464" s="286" t="s">
        <v>13</v>
      </c>
      <c r="B464" s="287">
        <v>4601</v>
      </c>
      <c r="C464" s="202"/>
      <c r="D464" s="216"/>
      <c r="E464" s="216"/>
      <c r="F464" s="202"/>
      <c r="G464" s="216"/>
      <c r="H464" s="216"/>
      <c r="I464" s="216"/>
      <c r="J464" s="216"/>
      <c r="K464" s="216"/>
      <c r="L464" s="292"/>
      <c r="M464" s="293"/>
      <c r="N464" s="290"/>
      <c r="O464" s="291"/>
      <c r="P464" s="291"/>
    </row>
    <row r="465" spans="1:16" ht="15.75" hidden="1">
      <c r="A465" s="286" t="s">
        <v>13</v>
      </c>
      <c r="B465" s="287">
        <v>4602</v>
      </c>
      <c r="C465" s="202"/>
      <c r="D465" s="216"/>
      <c r="E465" s="216"/>
      <c r="F465" s="202"/>
      <c r="G465" s="216"/>
      <c r="H465" s="216"/>
      <c r="I465" s="216"/>
      <c r="J465" s="216"/>
      <c r="K465" s="216"/>
      <c r="L465" s="292"/>
      <c r="M465" s="293"/>
      <c r="N465" s="290"/>
      <c r="O465" s="291"/>
      <c r="P465" s="291"/>
    </row>
    <row r="466" spans="1:16" ht="141.75" hidden="1">
      <c r="A466" s="294" t="s">
        <v>30</v>
      </c>
      <c r="B466" s="295">
        <v>4700</v>
      </c>
      <c r="C466" s="210" t="s">
        <v>12</v>
      </c>
      <c r="D466" s="211" t="s">
        <v>12</v>
      </c>
      <c r="E466" s="211" t="s">
        <v>12</v>
      </c>
      <c r="F466" s="210" t="s">
        <v>12</v>
      </c>
      <c r="G466" s="211" t="s">
        <v>12</v>
      </c>
      <c r="H466" s="211" t="s">
        <v>12</v>
      </c>
      <c r="I466" s="211"/>
      <c r="J466" s="211"/>
      <c r="K466" s="211"/>
      <c r="L466" s="296" t="s">
        <v>12</v>
      </c>
      <c r="M466" s="297" t="s">
        <v>12</v>
      </c>
      <c r="N466" s="298"/>
      <c r="O466" s="299">
        <f>O467+O472</f>
        <v>0</v>
      </c>
      <c r="P466" s="299">
        <f>P467+P472</f>
        <v>0</v>
      </c>
    </row>
    <row r="467" spans="1:16" ht="15.75" hidden="1">
      <c r="A467" s="294" t="s">
        <v>31</v>
      </c>
      <c r="B467" s="295">
        <v>4701</v>
      </c>
      <c r="C467" s="210" t="s">
        <v>12</v>
      </c>
      <c r="D467" s="211" t="s">
        <v>12</v>
      </c>
      <c r="E467" s="211" t="s">
        <v>12</v>
      </c>
      <c r="F467" s="210" t="s">
        <v>12</v>
      </c>
      <c r="G467" s="211" t="s">
        <v>12</v>
      </c>
      <c r="H467" s="211" t="s">
        <v>12</v>
      </c>
      <c r="I467" s="211"/>
      <c r="J467" s="211"/>
      <c r="K467" s="211"/>
      <c r="L467" s="296" t="s">
        <v>12</v>
      </c>
      <c r="M467" s="297" t="s">
        <v>12</v>
      </c>
      <c r="N467" s="298"/>
      <c r="O467" s="299">
        <f>O468+O469</f>
        <v>0</v>
      </c>
      <c r="P467" s="299">
        <f>P468+P469</f>
        <v>0</v>
      </c>
    </row>
    <row r="468" spans="1:16" ht="31.5" hidden="1">
      <c r="A468" s="294" t="s">
        <v>32</v>
      </c>
      <c r="B468" s="287">
        <v>4702</v>
      </c>
      <c r="C468" s="202"/>
      <c r="D468" s="216"/>
      <c r="E468" s="216"/>
      <c r="F468" s="202"/>
      <c r="G468" s="216"/>
      <c r="H468" s="216"/>
      <c r="I468" s="216"/>
      <c r="J468" s="216"/>
      <c r="K468" s="216"/>
      <c r="L468" s="292"/>
      <c r="M468" s="293"/>
      <c r="N468" s="290"/>
      <c r="O468" s="291"/>
      <c r="P468" s="291"/>
    </row>
    <row r="469" spans="1:16" ht="63" hidden="1">
      <c r="A469" s="294" t="s">
        <v>253</v>
      </c>
      <c r="B469" s="295">
        <v>4703</v>
      </c>
      <c r="C469" s="210" t="s">
        <v>12</v>
      </c>
      <c r="D469" s="211" t="s">
        <v>12</v>
      </c>
      <c r="E469" s="211" t="s">
        <v>12</v>
      </c>
      <c r="F469" s="210" t="s">
        <v>12</v>
      </c>
      <c r="G469" s="211" t="s">
        <v>12</v>
      </c>
      <c r="H469" s="211" t="s">
        <v>12</v>
      </c>
      <c r="I469" s="211"/>
      <c r="J469" s="211"/>
      <c r="K469" s="211"/>
      <c r="L469" s="296" t="s">
        <v>12</v>
      </c>
      <c r="M469" s="297" t="s">
        <v>12</v>
      </c>
      <c r="N469" s="298"/>
      <c r="O469" s="299">
        <f>SUM(O470:O471)</f>
        <v>0</v>
      </c>
      <c r="P469" s="299">
        <f>SUM(P470:P471)</f>
        <v>0</v>
      </c>
    </row>
    <row r="470" spans="1:16" ht="15.75" hidden="1">
      <c r="A470" s="286" t="s">
        <v>13</v>
      </c>
      <c r="B470" s="287">
        <v>4704</v>
      </c>
      <c r="C470" s="202"/>
      <c r="D470" s="216"/>
      <c r="E470" s="216"/>
      <c r="F470" s="202"/>
      <c r="G470" s="216"/>
      <c r="H470" s="216"/>
      <c r="I470" s="216"/>
      <c r="J470" s="216"/>
      <c r="K470" s="216"/>
      <c r="L470" s="292"/>
      <c r="M470" s="293"/>
      <c r="N470" s="290"/>
      <c r="O470" s="291"/>
      <c r="P470" s="291"/>
    </row>
    <row r="471" spans="1:16" ht="15.75" hidden="1">
      <c r="A471" s="286" t="s">
        <v>13</v>
      </c>
      <c r="B471" s="287">
        <v>4705</v>
      </c>
      <c r="C471" s="202"/>
      <c r="D471" s="216"/>
      <c r="E471" s="216"/>
      <c r="F471" s="202"/>
      <c r="G471" s="216"/>
      <c r="H471" s="216"/>
      <c r="I471" s="216"/>
      <c r="J471" s="216"/>
      <c r="K471" s="216"/>
      <c r="L471" s="292"/>
      <c r="M471" s="293"/>
      <c r="N471" s="290"/>
      <c r="O471" s="291"/>
      <c r="P471" s="291"/>
    </row>
    <row r="472" spans="1:16" ht="31.5" hidden="1">
      <c r="A472" s="294" t="s">
        <v>33</v>
      </c>
      <c r="B472" s="295">
        <v>4800</v>
      </c>
      <c r="C472" s="210" t="s">
        <v>12</v>
      </c>
      <c r="D472" s="211" t="s">
        <v>12</v>
      </c>
      <c r="E472" s="211" t="s">
        <v>12</v>
      </c>
      <c r="F472" s="210" t="s">
        <v>12</v>
      </c>
      <c r="G472" s="211" t="s">
        <v>12</v>
      </c>
      <c r="H472" s="211" t="s">
        <v>12</v>
      </c>
      <c r="I472" s="211"/>
      <c r="J472" s="211"/>
      <c r="K472" s="211"/>
      <c r="L472" s="296" t="s">
        <v>12</v>
      </c>
      <c r="M472" s="297" t="s">
        <v>12</v>
      </c>
      <c r="N472" s="298"/>
      <c r="O472" s="299">
        <f>O473+O476</f>
        <v>0</v>
      </c>
      <c r="P472" s="299">
        <f>P473+P476</f>
        <v>0</v>
      </c>
    </row>
    <row r="473" spans="1:16" ht="126" hidden="1">
      <c r="A473" s="294" t="s">
        <v>254</v>
      </c>
      <c r="B473" s="295">
        <v>4801</v>
      </c>
      <c r="C473" s="210" t="s">
        <v>12</v>
      </c>
      <c r="D473" s="211" t="s">
        <v>12</v>
      </c>
      <c r="E473" s="211" t="s">
        <v>12</v>
      </c>
      <c r="F473" s="210" t="s">
        <v>12</v>
      </c>
      <c r="G473" s="211" t="s">
        <v>12</v>
      </c>
      <c r="H473" s="211" t="s">
        <v>12</v>
      </c>
      <c r="I473" s="211"/>
      <c r="J473" s="211"/>
      <c r="K473" s="211"/>
      <c r="L473" s="296" t="s">
        <v>12</v>
      </c>
      <c r="M473" s="297" t="s">
        <v>12</v>
      </c>
      <c r="N473" s="298"/>
      <c r="O473" s="299">
        <f>SUM(O474:O475)</f>
        <v>0</v>
      </c>
      <c r="P473" s="299">
        <f>SUM(P474:P475)</f>
        <v>0</v>
      </c>
    </row>
    <row r="474" spans="1:16" ht="15.75" hidden="1">
      <c r="A474" s="286" t="s">
        <v>13</v>
      </c>
      <c r="B474" s="287">
        <v>4802</v>
      </c>
      <c r="C474" s="202"/>
      <c r="D474" s="216"/>
      <c r="E474" s="216"/>
      <c r="F474" s="202"/>
      <c r="G474" s="216"/>
      <c r="H474" s="216"/>
      <c r="I474" s="216"/>
      <c r="J474" s="216"/>
      <c r="K474" s="216"/>
      <c r="L474" s="292"/>
      <c r="M474" s="293"/>
      <c r="N474" s="290"/>
      <c r="O474" s="291"/>
      <c r="P474" s="291"/>
    </row>
    <row r="475" spans="1:16" ht="15.75" hidden="1">
      <c r="A475" s="286" t="s">
        <v>13</v>
      </c>
      <c r="B475" s="287">
        <v>4803</v>
      </c>
      <c r="C475" s="202"/>
      <c r="D475" s="216"/>
      <c r="E475" s="216"/>
      <c r="F475" s="202"/>
      <c r="G475" s="216"/>
      <c r="H475" s="216"/>
      <c r="I475" s="216"/>
      <c r="J475" s="216"/>
      <c r="K475" s="216"/>
      <c r="L475" s="292"/>
      <c r="M475" s="293"/>
      <c r="N475" s="290"/>
      <c r="O475" s="291"/>
      <c r="P475" s="291"/>
    </row>
    <row r="476" spans="1:16" ht="63" hidden="1">
      <c r="A476" s="294" t="s">
        <v>255</v>
      </c>
      <c r="B476" s="295">
        <v>4900</v>
      </c>
      <c r="C476" s="210" t="s">
        <v>12</v>
      </c>
      <c r="D476" s="211" t="s">
        <v>12</v>
      </c>
      <c r="E476" s="211" t="s">
        <v>12</v>
      </c>
      <c r="F476" s="210" t="s">
        <v>12</v>
      </c>
      <c r="G476" s="211" t="s">
        <v>12</v>
      </c>
      <c r="H476" s="211" t="s">
        <v>12</v>
      </c>
      <c r="I476" s="211"/>
      <c r="J476" s="211"/>
      <c r="K476" s="211"/>
      <c r="L476" s="296" t="s">
        <v>12</v>
      </c>
      <c r="M476" s="297" t="s">
        <v>12</v>
      </c>
      <c r="N476" s="298"/>
      <c r="O476" s="299">
        <f>SUM(O477:O478)</f>
        <v>0</v>
      </c>
      <c r="P476" s="299">
        <f>SUM(P477:P478)</f>
        <v>0</v>
      </c>
    </row>
    <row r="477" spans="1:16" ht="15.75" hidden="1">
      <c r="A477" s="286" t="s">
        <v>13</v>
      </c>
      <c r="B477" s="287">
        <v>4901</v>
      </c>
      <c r="C477" s="202"/>
      <c r="D477" s="216"/>
      <c r="E477" s="216"/>
      <c r="F477" s="202"/>
      <c r="G477" s="216"/>
      <c r="H477" s="216"/>
      <c r="I477" s="216"/>
      <c r="J477" s="216"/>
      <c r="K477" s="216"/>
      <c r="L477" s="292"/>
      <c r="M477" s="293"/>
      <c r="N477" s="290"/>
      <c r="O477" s="291"/>
      <c r="P477" s="291"/>
    </row>
    <row r="478" spans="1:16" ht="15.75" hidden="1">
      <c r="A478" s="286" t="s">
        <v>13</v>
      </c>
      <c r="B478" s="287">
        <v>4902</v>
      </c>
      <c r="C478" s="202"/>
      <c r="D478" s="216"/>
      <c r="E478" s="216"/>
      <c r="F478" s="202"/>
      <c r="G478" s="216"/>
      <c r="H478" s="216"/>
      <c r="I478" s="216"/>
      <c r="J478" s="216"/>
      <c r="K478" s="216"/>
      <c r="L478" s="292"/>
      <c r="M478" s="293"/>
      <c r="N478" s="290"/>
      <c r="O478" s="291"/>
      <c r="P478" s="291"/>
    </row>
    <row r="479" spans="1:16" ht="78.75" hidden="1">
      <c r="A479" s="301" t="s">
        <v>34</v>
      </c>
      <c r="B479" s="295">
        <v>5000</v>
      </c>
      <c r="C479" s="210" t="s">
        <v>12</v>
      </c>
      <c r="D479" s="211" t="s">
        <v>12</v>
      </c>
      <c r="E479" s="211" t="s">
        <v>12</v>
      </c>
      <c r="F479" s="210" t="s">
        <v>12</v>
      </c>
      <c r="G479" s="211" t="s">
        <v>12</v>
      </c>
      <c r="H479" s="211" t="s">
        <v>12</v>
      </c>
      <c r="I479" s="211"/>
      <c r="J479" s="211"/>
      <c r="K479" s="211"/>
      <c r="L479" s="296" t="s">
        <v>12</v>
      </c>
      <c r="M479" s="297" t="s">
        <v>12</v>
      </c>
      <c r="N479" s="298"/>
      <c r="O479" s="299">
        <f>O480+O522+O541+O562+O604</f>
        <v>741681.1000000001</v>
      </c>
      <c r="P479" s="299">
        <f>P480+P522+P541+P562+P604</f>
        <v>610174.1000000001</v>
      </c>
    </row>
    <row r="480" spans="1:16" ht="110.25" hidden="1">
      <c r="A480" s="294" t="s">
        <v>256</v>
      </c>
      <c r="B480" s="295">
        <v>5001</v>
      </c>
      <c r="C480" s="210" t="s">
        <v>12</v>
      </c>
      <c r="D480" s="211" t="s">
        <v>12</v>
      </c>
      <c r="E480" s="211" t="s">
        <v>12</v>
      </c>
      <c r="F480" s="210" t="s">
        <v>12</v>
      </c>
      <c r="G480" s="211" t="s">
        <v>12</v>
      </c>
      <c r="H480" s="211" t="s">
        <v>12</v>
      </c>
      <c r="I480" s="211"/>
      <c r="J480" s="211"/>
      <c r="K480" s="211"/>
      <c r="L480" s="296" t="s">
        <v>12</v>
      </c>
      <c r="M480" s="297" t="s">
        <v>12</v>
      </c>
      <c r="N480" s="298"/>
      <c r="O480" s="299">
        <f>SUM(O481:O521)</f>
        <v>607962.4000000001</v>
      </c>
      <c r="P480" s="299">
        <f>SUM(P481:P521)</f>
        <v>527207.0000000001</v>
      </c>
    </row>
    <row r="481" spans="1:16" ht="110.25" hidden="1">
      <c r="A481" s="286" t="s">
        <v>257</v>
      </c>
      <c r="B481" s="287">
        <v>5002</v>
      </c>
      <c r="C481" s="150" t="s">
        <v>594</v>
      </c>
      <c r="D481" s="303" t="s">
        <v>593</v>
      </c>
      <c r="E481" s="303" t="s">
        <v>658</v>
      </c>
      <c r="F481" s="208"/>
      <c r="G481" s="208"/>
      <c r="H481" s="208"/>
      <c r="I481" s="208"/>
      <c r="J481" s="208"/>
      <c r="K481" s="208"/>
      <c r="L481" s="292" t="s">
        <v>701</v>
      </c>
      <c r="M481" s="293" t="s">
        <v>702</v>
      </c>
      <c r="N481" s="304"/>
      <c r="O481" s="291">
        <f>117966.1</f>
        <v>117966.1</v>
      </c>
      <c r="P481" s="291">
        <f>97279.8</f>
        <v>97279.8</v>
      </c>
    </row>
    <row r="482" spans="1:16" ht="31.5" hidden="1">
      <c r="A482" s="286" t="s">
        <v>258</v>
      </c>
      <c r="B482" s="287">
        <v>5003</v>
      </c>
      <c r="C482" s="150"/>
      <c r="D482" s="303"/>
      <c r="E482" s="303"/>
      <c r="F482" s="208"/>
      <c r="G482" s="208"/>
      <c r="H482" s="208"/>
      <c r="I482" s="208"/>
      <c r="J482" s="208"/>
      <c r="K482" s="208"/>
      <c r="L482" s="288"/>
      <c r="M482" s="289"/>
      <c r="N482" s="290"/>
      <c r="O482" s="291"/>
      <c r="P482" s="291"/>
    </row>
    <row r="483" spans="1:16" ht="189" hidden="1">
      <c r="A483" s="286" t="s">
        <v>259</v>
      </c>
      <c r="B483" s="287">
        <v>5004</v>
      </c>
      <c r="C483" s="150" t="s">
        <v>595</v>
      </c>
      <c r="D483" s="160" t="s">
        <v>596</v>
      </c>
      <c r="E483" s="161" t="s">
        <v>598</v>
      </c>
      <c r="F483" s="150" t="s">
        <v>599</v>
      </c>
      <c r="G483" s="160" t="s">
        <v>600</v>
      </c>
      <c r="H483" s="160" t="s">
        <v>668</v>
      </c>
      <c r="I483" s="160"/>
      <c r="J483" s="160"/>
      <c r="K483" s="160"/>
      <c r="L483" s="292" t="s">
        <v>703</v>
      </c>
      <c r="M483" s="293" t="s">
        <v>704</v>
      </c>
      <c r="N483" s="304"/>
      <c r="O483" s="291">
        <f>10688.4</f>
        <v>10688.4</v>
      </c>
      <c r="P483" s="291">
        <f>4426.6</f>
        <v>4426.6</v>
      </c>
    </row>
    <row r="484" spans="1:16" ht="126" hidden="1">
      <c r="A484" s="286" t="s">
        <v>260</v>
      </c>
      <c r="B484" s="287">
        <v>5005</v>
      </c>
      <c r="C484" s="150" t="s">
        <v>601</v>
      </c>
      <c r="D484" s="303" t="s">
        <v>602</v>
      </c>
      <c r="E484" s="303" t="s">
        <v>657</v>
      </c>
      <c r="F484" s="150" t="s">
        <v>603</v>
      </c>
      <c r="G484" s="150" t="s">
        <v>605</v>
      </c>
      <c r="H484" s="303" t="s">
        <v>669</v>
      </c>
      <c r="I484" s="303"/>
      <c r="J484" s="303"/>
      <c r="K484" s="303"/>
      <c r="L484" s="292" t="s">
        <v>298</v>
      </c>
      <c r="M484" s="293" t="s">
        <v>297</v>
      </c>
      <c r="N484" s="304"/>
      <c r="O484" s="291">
        <f>28392.1</f>
        <v>28392.1</v>
      </c>
      <c r="P484" s="291">
        <f>29421</f>
        <v>29421</v>
      </c>
    </row>
    <row r="485" spans="1:16" ht="63" hidden="1">
      <c r="A485" s="286" t="s">
        <v>261</v>
      </c>
      <c r="B485" s="287">
        <v>5006</v>
      </c>
      <c r="C485" s="208"/>
      <c r="D485" s="208"/>
      <c r="E485" s="208"/>
      <c r="F485" s="208"/>
      <c r="G485" s="208"/>
      <c r="H485" s="208"/>
      <c r="I485" s="208"/>
      <c r="J485" s="208"/>
      <c r="K485" s="208"/>
      <c r="L485" s="292"/>
      <c r="M485" s="293"/>
      <c r="N485" s="304"/>
      <c r="O485" s="291"/>
      <c r="P485" s="291"/>
    </row>
    <row r="486" spans="1:16" ht="141.75" hidden="1">
      <c r="A486" s="286" t="s">
        <v>262</v>
      </c>
      <c r="B486" s="287">
        <v>5007</v>
      </c>
      <c r="C486" s="150" t="s">
        <v>606</v>
      </c>
      <c r="D486" s="303" t="s">
        <v>607</v>
      </c>
      <c r="E486" s="303" t="s">
        <v>656</v>
      </c>
      <c r="F486" s="303" t="s">
        <v>608</v>
      </c>
      <c r="G486" s="303" t="s">
        <v>609</v>
      </c>
      <c r="H486" s="303" t="s">
        <v>670</v>
      </c>
      <c r="I486" s="303"/>
      <c r="J486" s="303"/>
      <c r="K486" s="303"/>
      <c r="L486" s="292" t="s">
        <v>299</v>
      </c>
      <c r="M486" s="293" t="s">
        <v>303</v>
      </c>
      <c r="N486" s="304"/>
      <c r="O486" s="291">
        <f>117393.4</f>
        <v>117393.4</v>
      </c>
      <c r="P486" s="291">
        <f>114932.2</f>
        <v>114932.2</v>
      </c>
    </row>
    <row r="487" spans="1:16" ht="126" hidden="1">
      <c r="A487" s="286" t="s">
        <v>263</v>
      </c>
      <c r="B487" s="287">
        <v>5008</v>
      </c>
      <c r="C487" s="150" t="s">
        <v>611</v>
      </c>
      <c r="D487" s="150" t="s">
        <v>610</v>
      </c>
      <c r="E487" s="150" t="s">
        <v>655</v>
      </c>
      <c r="F487" s="173" t="s">
        <v>615</v>
      </c>
      <c r="G487" s="173" t="s">
        <v>613</v>
      </c>
      <c r="H487" s="173" t="s">
        <v>614</v>
      </c>
      <c r="I487" s="173"/>
      <c r="J487" s="173"/>
      <c r="K487" s="173"/>
      <c r="L487" s="292" t="s">
        <v>705</v>
      </c>
      <c r="M487" s="293" t="s">
        <v>303</v>
      </c>
      <c r="N487" s="304"/>
      <c r="O487" s="291">
        <f>52552.7</f>
        <v>52552.7</v>
      </c>
      <c r="P487" s="291">
        <f>38478.3</f>
        <v>38478.3</v>
      </c>
    </row>
    <row r="488" spans="1:16" ht="31.5" hidden="1">
      <c r="A488" s="286" t="s">
        <v>264</v>
      </c>
      <c r="B488" s="287">
        <v>5009</v>
      </c>
      <c r="C488" s="208"/>
      <c r="D488" s="208"/>
      <c r="E488" s="208"/>
      <c r="F488" s="208"/>
      <c r="G488" s="208"/>
      <c r="H488" s="208"/>
      <c r="I488" s="208"/>
      <c r="J488" s="208"/>
      <c r="K488" s="208"/>
      <c r="L488" s="292"/>
      <c r="M488" s="293"/>
      <c r="N488" s="304"/>
      <c r="O488" s="291"/>
      <c r="P488" s="291"/>
    </row>
    <row r="489" spans="1:16" ht="315" hidden="1">
      <c r="A489" s="286" t="s">
        <v>265</v>
      </c>
      <c r="B489" s="287">
        <v>5010</v>
      </c>
      <c r="C489" s="150" t="s">
        <v>616</v>
      </c>
      <c r="D489" s="150" t="s">
        <v>617</v>
      </c>
      <c r="E489" s="150" t="s">
        <v>659</v>
      </c>
      <c r="F489" s="150" t="s">
        <v>618</v>
      </c>
      <c r="G489" s="150" t="s">
        <v>605</v>
      </c>
      <c r="H489" s="150" t="s">
        <v>671</v>
      </c>
      <c r="I489" s="150"/>
      <c r="J489" s="150"/>
      <c r="K489" s="150"/>
      <c r="L489" s="292" t="s">
        <v>333</v>
      </c>
      <c r="M489" s="293" t="s">
        <v>706</v>
      </c>
      <c r="N489" s="304"/>
      <c r="O489" s="291">
        <f>46659.7</f>
        <v>46659.7</v>
      </c>
      <c r="P489" s="291">
        <f>53208.9</f>
        <v>53208.9</v>
      </c>
    </row>
    <row r="490" spans="1:16" ht="220.5" hidden="1">
      <c r="A490" s="286" t="s">
        <v>266</v>
      </c>
      <c r="B490" s="287">
        <v>5011</v>
      </c>
      <c r="C490" s="208"/>
      <c r="D490" s="208"/>
      <c r="E490" s="208"/>
      <c r="F490" s="208"/>
      <c r="G490" s="208"/>
      <c r="H490" s="208"/>
      <c r="I490" s="208"/>
      <c r="J490" s="208"/>
      <c r="K490" s="208"/>
      <c r="L490" s="292"/>
      <c r="M490" s="293"/>
      <c r="N490" s="304"/>
      <c r="O490" s="291"/>
      <c r="P490" s="291"/>
    </row>
    <row r="491" spans="1:16" ht="78.75" hidden="1">
      <c r="A491" s="286" t="s">
        <v>267</v>
      </c>
      <c r="B491" s="287">
        <v>5012</v>
      </c>
      <c r="C491" s="208"/>
      <c r="D491" s="208"/>
      <c r="E491" s="208"/>
      <c r="F491" s="208"/>
      <c r="G491" s="208"/>
      <c r="H491" s="208"/>
      <c r="I491" s="208"/>
      <c r="J491" s="208"/>
      <c r="K491" s="208"/>
      <c r="L491" s="292"/>
      <c r="M491" s="293"/>
      <c r="N491" s="304"/>
      <c r="O491" s="291"/>
      <c r="P491" s="291"/>
    </row>
    <row r="492" spans="1:16" ht="141.75" hidden="1">
      <c r="A492" s="286" t="s">
        <v>268</v>
      </c>
      <c r="B492" s="287">
        <v>5013</v>
      </c>
      <c r="C492" s="150" t="s">
        <v>619</v>
      </c>
      <c r="D492" s="150" t="s">
        <v>620</v>
      </c>
      <c r="E492" s="150" t="s">
        <v>660</v>
      </c>
      <c r="F492" s="208"/>
      <c r="G492" s="208"/>
      <c r="H492" s="208"/>
      <c r="I492" s="208"/>
      <c r="J492" s="208"/>
      <c r="K492" s="208"/>
      <c r="L492" s="292" t="s">
        <v>301</v>
      </c>
      <c r="M492" s="293" t="s">
        <v>301</v>
      </c>
      <c r="N492" s="304"/>
      <c r="O492" s="291">
        <f>3208</f>
        <v>3208</v>
      </c>
      <c r="P492" s="291">
        <f>2832</f>
        <v>2832</v>
      </c>
    </row>
    <row r="493" spans="1:16" ht="78.75" hidden="1">
      <c r="A493" s="286" t="s">
        <v>269</v>
      </c>
      <c r="B493" s="287">
        <v>5014</v>
      </c>
      <c r="C493" s="150" t="s">
        <v>616</v>
      </c>
      <c r="D493" s="150" t="s">
        <v>622</v>
      </c>
      <c r="E493" s="150" t="s">
        <v>661</v>
      </c>
      <c r="F493" s="150" t="s">
        <v>621</v>
      </c>
      <c r="G493" s="150" t="s">
        <v>605</v>
      </c>
      <c r="H493" s="150" t="s">
        <v>623</v>
      </c>
      <c r="I493" s="150"/>
      <c r="J493" s="150"/>
      <c r="K493" s="150"/>
      <c r="L493" s="292" t="s">
        <v>298</v>
      </c>
      <c r="M493" s="293" t="s">
        <v>707</v>
      </c>
      <c r="N493" s="304"/>
      <c r="O493" s="291">
        <f>79.2</f>
        <v>79.2</v>
      </c>
      <c r="P493" s="291">
        <v>0</v>
      </c>
    </row>
    <row r="494" spans="1:16" ht="94.5" hidden="1">
      <c r="A494" s="286" t="s">
        <v>81</v>
      </c>
      <c r="B494" s="287">
        <v>5015</v>
      </c>
      <c r="C494" s="150" t="s">
        <v>616</v>
      </c>
      <c r="D494" s="150" t="s">
        <v>624</v>
      </c>
      <c r="E494" s="150" t="s">
        <v>661</v>
      </c>
      <c r="F494" s="208"/>
      <c r="G494" s="208"/>
      <c r="H494" s="208"/>
      <c r="I494" s="208"/>
      <c r="J494" s="208"/>
      <c r="K494" s="208"/>
      <c r="L494" s="292" t="s">
        <v>304</v>
      </c>
      <c r="M494" s="293" t="s">
        <v>302</v>
      </c>
      <c r="N494" s="304"/>
      <c r="O494" s="291">
        <f>57954.9</f>
        <v>57954.9</v>
      </c>
      <c r="P494" s="291">
        <f>70358.5</f>
        <v>70358.5</v>
      </c>
    </row>
    <row r="495" spans="1:16" ht="252" hidden="1">
      <c r="A495" s="286" t="s">
        <v>270</v>
      </c>
      <c r="B495" s="287">
        <v>5016</v>
      </c>
      <c r="C495" s="150" t="s">
        <v>625</v>
      </c>
      <c r="D495" s="150" t="s">
        <v>626</v>
      </c>
      <c r="E495" s="150" t="s">
        <v>662</v>
      </c>
      <c r="F495" s="150" t="s">
        <v>630</v>
      </c>
      <c r="G495" s="150" t="s">
        <v>629</v>
      </c>
      <c r="H495" s="150" t="s">
        <v>627</v>
      </c>
      <c r="I495" s="150"/>
      <c r="J495" s="150"/>
      <c r="K495" s="150"/>
      <c r="L495" s="292" t="s">
        <v>300</v>
      </c>
      <c r="M495" s="293" t="s">
        <v>311</v>
      </c>
      <c r="N495" s="304"/>
      <c r="O495" s="291">
        <f>55344.4</f>
        <v>55344.4</v>
      </c>
      <c r="P495" s="291">
        <f>65181.8</f>
        <v>65181.8</v>
      </c>
    </row>
    <row r="496" spans="1:16" ht="173.25" hidden="1">
      <c r="A496" s="286" t="s">
        <v>271</v>
      </c>
      <c r="B496" s="287">
        <v>5017</v>
      </c>
      <c r="C496" s="150" t="s">
        <v>631</v>
      </c>
      <c r="D496" s="150" t="s">
        <v>632</v>
      </c>
      <c r="E496" s="150" t="s">
        <v>665</v>
      </c>
      <c r="F496" s="208"/>
      <c r="G496" s="208"/>
      <c r="H496" s="208"/>
      <c r="I496" s="208"/>
      <c r="J496" s="208"/>
      <c r="K496" s="208"/>
      <c r="L496" s="292" t="s">
        <v>304</v>
      </c>
      <c r="M496" s="293" t="s">
        <v>303</v>
      </c>
      <c r="N496" s="304"/>
      <c r="O496" s="291">
        <f>69089.5</f>
        <v>69089.5</v>
      </c>
      <c r="P496" s="291">
        <f>13877.9</f>
        <v>13877.9</v>
      </c>
    </row>
    <row r="497" spans="1:16" ht="78.75" hidden="1">
      <c r="A497" s="286" t="s">
        <v>84</v>
      </c>
      <c r="B497" s="287">
        <v>5018</v>
      </c>
      <c r="C497" s="150" t="s">
        <v>635</v>
      </c>
      <c r="D497" s="150" t="s">
        <v>636</v>
      </c>
      <c r="E497" s="150" t="s">
        <v>663</v>
      </c>
      <c r="F497" s="150" t="s">
        <v>633</v>
      </c>
      <c r="G497" s="150" t="s">
        <v>634</v>
      </c>
      <c r="H497" s="150" t="s">
        <v>604</v>
      </c>
      <c r="I497" s="150"/>
      <c r="J497" s="150"/>
      <c r="K497" s="150"/>
      <c r="L497" s="292" t="s">
        <v>300</v>
      </c>
      <c r="M497" s="293" t="s">
        <v>299</v>
      </c>
      <c r="N497" s="304"/>
      <c r="O497" s="291">
        <f>1390.8</f>
        <v>1390.8</v>
      </c>
      <c r="P497" s="291">
        <f>1485.7</f>
        <v>1485.7</v>
      </c>
    </row>
    <row r="498" spans="1:16" ht="78.75" hidden="1">
      <c r="A498" s="286" t="s">
        <v>85</v>
      </c>
      <c r="B498" s="287">
        <v>5019</v>
      </c>
      <c r="C498" s="208"/>
      <c r="D498" s="208"/>
      <c r="E498" s="208"/>
      <c r="F498" s="208"/>
      <c r="G498" s="208"/>
      <c r="H498" s="208"/>
      <c r="I498" s="208"/>
      <c r="J498" s="208"/>
      <c r="K498" s="208"/>
      <c r="L498" s="292"/>
      <c r="M498" s="293"/>
      <c r="N498" s="304"/>
      <c r="O498" s="291"/>
      <c r="P498" s="291"/>
    </row>
    <row r="499" spans="1:16" ht="173.25" hidden="1">
      <c r="A499" s="286" t="s">
        <v>272</v>
      </c>
      <c r="B499" s="287">
        <v>5020</v>
      </c>
      <c r="C499" s="208"/>
      <c r="D499" s="208"/>
      <c r="E499" s="208"/>
      <c r="F499" s="208"/>
      <c r="G499" s="208"/>
      <c r="H499" s="208"/>
      <c r="I499" s="208"/>
      <c r="J499" s="208"/>
      <c r="K499" s="208"/>
      <c r="L499" s="292"/>
      <c r="M499" s="293"/>
      <c r="N499" s="304"/>
      <c r="O499" s="291"/>
      <c r="P499" s="291"/>
    </row>
    <row r="500" spans="1:16" ht="204.75" hidden="1">
      <c r="A500" s="286" t="s">
        <v>87</v>
      </c>
      <c r="B500" s="287">
        <v>5021</v>
      </c>
      <c r="C500" s="150" t="s">
        <v>698</v>
      </c>
      <c r="D500" s="150" t="s">
        <v>699</v>
      </c>
      <c r="E500" s="150" t="s">
        <v>700</v>
      </c>
      <c r="F500" s="150" t="s">
        <v>637</v>
      </c>
      <c r="G500" s="150" t="s">
        <v>638</v>
      </c>
      <c r="H500" s="150" t="s">
        <v>672</v>
      </c>
      <c r="I500" s="150"/>
      <c r="J500" s="150"/>
      <c r="K500" s="150"/>
      <c r="L500" s="292" t="s">
        <v>708</v>
      </c>
      <c r="M500" s="293" t="s">
        <v>331</v>
      </c>
      <c r="N500" s="304"/>
      <c r="O500" s="291">
        <f>880.1</f>
        <v>880.1</v>
      </c>
      <c r="P500" s="291">
        <v>0</v>
      </c>
    </row>
    <row r="501" spans="1:16" ht="204.75" hidden="1">
      <c r="A501" s="286" t="s">
        <v>88</v>
      </c>
      <c r="B501" s="305">
        <v>5022</v>
      </c>
      <c r="C501" s="150" t="s">
        <v>639</v>
      </c>
      <c r="D501" s="150" t="s">
        <v>640</v>
      </c>
      <c r="E501" s="150" t="s">
        <v>664</v>
      </c>
      <c r="F501" s="303" t="s">
        <v>641</v>
      </c>
      <c r="G501" s="303" t="s">
        <v>642</v>
      </c>
      <c r="H501" s="303" t="s">
        <v>673</v>
      </c>
      <c r="I501" s="303"/>
      <c r="J501" s="303"/>
      <c r="K501" s="303"/>
      <c r="L501" s="292" t="s">
        <v>299</v>
      </c>
      <c r="M501" s="293" t="s">
        <v>303</v>
      </c>
      <c r="N501" s="304"/>
      <c r="O501" s="291">
        <f>31110.5</f>
        <v>31110.5</v>
      </c>
      <c r="P501" s="291">
        <f>33424.3</f>
        <v>33424.3</v>
      </c>
    </row>
    <row r="502" spans="1:16" ht="141.75" hidden="1">
      <c r="A502" s="286" t="s">
        <v>89</v>
      </c>
      <c r="B502" s="287">
        <v>5023</v>
      </c>
      <c r="C502" s="208"/>
      <c r="D502" s="208"/>
      <c r="E502" s="208"/>
      <c r="F502" s="208"/>
      <c r="G502" s="208"/>
      <c r="H502" s="208"/>
      <c r="I502" s="208"/>
      <c r="J502" s="208"/>
      <c r="K502" s="208"/>
      <c r="L502" s="292"/>
      <c r="M502" s="293"/>
      <c r="N502" s="304"/>
      <c r="O502" s="291"/>
      <c r="P502" s="291"/>
    </row>
    <row r="503" spans="1:16" ht="94.5" hidden="1">
      <c r="A503" s="286" t="s">
        <v>273</v>
      </c>
      <c r="B503" s="287">
        <v>5024</v>
      </c>
      <c r="C503" s="208"/>
      <c r="D503" s="208"/>
      <c r="E503" s="208"/>
      <c r="F503" s="208"/>
      <c r="G503" s="208"/>
      <c r="H503" s="208"/>
      <c r="I503" s="208"/>
      <c r="J503" s="208"/>
      <c r="K503" s="208"/>
      <c r="L503" s="292"/>
      <c r="M503" s="293"/>
      <c r="N503" s="304"/>
      <c r="O503" s="291"/>
      <c r="P503" s="291"/>
    </row>
    <row r="504" spans="1:16" ht="110.25" hidden="1">
      <c r="A504" s="286" t="s">
        <v>274</v>
      </c>
      <c r="B504" s="287">
        <v>5025</v>
      </c>
      <c r="C504" s="208"/>
      <c r="D504" s="208"/>
      <c r="E504" s="208"/>
      <c r="F504" s="208"/>
      <c r="G504" s="208"/>
      <c r="H504" s="208"/>
      <c r="I504" s="208"/>
      <c r="J504" s="208"/>
      <c r="K504" s="208"/>
      <c r="L504" s="292"/>
      <c r="M504" s="293"/>
      <c r="N504" s="304"/>
      <c r="O504" s="291"/>
      <c r="P504" s="291"/>
    </row>
    <row r="505" spans="1:16" ht="204.75" hidden="1">
      <c r="A505" s="286" t="s">
        <v>236</v>
      </c>
      <c r="B505" s="287">
        <v>5026</v>
      </c>
      <c r="C505" s="150" t="s">
        <v>643</v>
      </c>
      <c r="D505" s="150" t="s">
        <v>644</v>
      </c>
      <c r="E505" s="150" t="s">
        <v>674</v>
      </c>
      <c r="F505" s="150" t="s">
        <v>618</v>
      </c>
      <c r="G505" s="150" t="s">
        <v>645</v>
      </c>
      <c r="H505" s="150" t="s">
        <v>671</v>
      </c>
      <c r="I505" s="150"/>
      <c r="J505" s="150"/>
      <c r="K505" s="150"/>
      <c r="L505" s="292" t="s">
        <v>304</v>
      </c>
      <c r="M505" s="293" t="s">
        <v>298</v>
      </c>
      <c r="N505" s="304"/>
      <c r="O505" s="291">
        <f>13692.9</f>
        <v>13692.9</v>
      </c>
      <c r="P505" s="291">
        <f>980</f>
        <v>980</v>
      </c>
    </row>
    <row r="506" spans="1:16" ht="409.5" hidden="1">
      <c r="A506" s="286" t="s">
        <v>275</v>
      </c>
      <c r="B506" s="287">
        <v>5027</v>
      </c>
      <c r="C506" s="150" t="s">
        <v>646</v>
      </c>
      <c r="D506" s="150" t="s">
        <v>647</v>
      </c>
      <c r="E506" s="150" t="s">
        <v>666</v>
      </c>
      <c r="F506" s="208"/>
      <c r="G506" s="208"/>
      <c r="H506" s="208"/>
      <c r="I506" s="208"/>
      <c r="J506" s="208"/>
      <c r="K506" s="208"/>
      <c r="L506" s="292" t="s">
        <v>300</v>
      </c>
      <c r="M506" s="293" t="s">
        <v>312</v>
      </c>
      <c r="N506" s="304"/>
      <c r="O506" s="291">
        <f>11014.6-10189.1</f>
        <v>825.5</v>
      </c>
      <c r="P506" s="291">
        <f>4458.3-4458.3</f>
        <v>0</v>
      </c>
    </row>
    <row r="507" spans="1:16" ht="141.75" hidden="1">
      <c r="A507" s="286" t="s">
        <v>205</v>
      </c>
      <c r="B507" s="287">
        <v>5028</v>
      </c>
      <c r="C507" s="150" t="s">
        <v>648</v>
      </c>
      <c r="D507" s="150" t="s">
        <v>649</v>
      </c>
      <c r="E507" s="150" t="s">
        <v>675</v>
      </c>
      <c r="F507" s="208"/>
      <c r="G507" s="208"/>
      <c r="H507" s="208"/>
      <c r="I507" s="208"/>
      <c r="J507" s="208"/>
      <c r="K507" s="208"/>
      <c r="L507" s="292" t="s">
        <v>304</v>
      </c>
      <c r="M507" s="293" t="s">
        <v>298</v>
      </c>
      <c r="N507" s="304"/>
      <c r="O507" s="291">
        <f>680.2</f>
        <v>680.2</v>
      </c>
      <c r="P507" s="291">
        <v>0</v>
      </c>
    </row>
    <row r="508" spans="1:16" ht="94.5" hidden="1">
      <c r="A508" s="286" t="s">
        <v>276</v>
      </c>
      <c r="B508" s="305">
        <v>5029</v>
      </c>
      <c r="C508" s="162" t="s">
        <v>635</v>
      </c>
      <c r="D508" s="150" t="s">
        <v>650</v>
      </c>
      <c r="E508" s="150" t="s">
        <v>661</v>
      </c>
      <c r="F508" s="208"/>
      <c r="G508" s="208"/>
      <c r="H508" s="208"/>
      <c r="I508" s="208"/>
      <c r="J508" s="208"/>
      <c r="K508" s="208"/>
      <c r="L508" s="292" t="s">
        <v>298</v>
      </c>
      <c r="M508" s="293" t="s">
        <v>311</v>
      </c>
      <c r="N508" s="304"/>
      <c r="O508" s="291"/>
      <c r="P508" s="291">
        <f>1320</f>
        <v>1320</v>
      </c>
    </row>
    <row r="509" spans="1:16" ht="78.75" hidden="1">
      <c r="A509" s="286" t="s">
        <v>96</v>
      </c>
      <c r="B509" s="287">
        <v>5030</v>
      </c>
      <c r="C509" s="208"/>
      <c r="D509" s="208"/>
      <c r="E509" s="208"/>
      <c r="F509" s="208"/>
      <c r="G509" s="208"/>
      <c r="H509" s="208"/>
      <c r="I509" s="208"/>
      <c r="J509" s="208"/>
      <c r="K509" s="208"/>
      <c r="L509" s="288"/>
      <c r="M509" s="289"/>
      <c r="N509" s="290"/>
      <c r="O509" s="291"/>
      <c r="P509" s="291"/>
    </row>
    <row r="510" spans="1:16" ht="78.75" hidden="1">
      <c r="A510" s="286" t="s">
        <v>70</v>
      </c>
      <c r="B510" s="287">
        <v>5031</v>
      </c>
      <c r="C510" s="162" t="s">
        <v>635</v>
      </c>
      <c r="D510" s="150" t="s">
        <v>652</v>
      </c>
      <c r="E510" s="150" t="s">
        <v>661</v>
      </c>
      <c r="F510" s="162" t="s">
        <v>651</v>
      </c>
      <c r="G510" s="150" t="s">
        <v>653</v>
      </c>
      <c r="H510" s="150" t="s">
        <v>667</v>
      </c>
      <c r="I510" s="150"/>
      <c r="J510" s="150"/>
      <c r="K510" s="150"/>
      <c r="L510" s="292" t="s">
        <v>298</v>
      </c>
      <c r="M510" s="293" t="s">
        <v>311</v>
      </c>
      <c r="N510" s="304"/>
      <c r="O510" s="291">
        <f>9.6</f>
        <v>9.6</v>
      </c>
      <c r="P510" s="291">
        <v>0</v>
      </c>
    </row>
    <row r="511" spans="1:16" ht="126" hidden="1">
      <c r="A511" s="286" t="s">
        <v>277</v>
      </c>
      <c r="B511" s="287">
        <v>5032</v>
      </c>
      <c r="C511" s="208"/>
      <c r="D511" s="208"/>
      <c r="E511" s="208"/>
      <c r="F511" s="208"/>
      <c r="G511" s="208"/>
      <c r="H511" s="208"/>
      <c r="I511" s="208"/>
      <c r="J511" s="208"/>
      <c r="K511" s="208"/>
      <c r="L511" s="288"/>
      <c r="M511" s="289"/>
      <c r="N511" s="290"/>
      <c r="O511" s="291"/>
      <c r="P511" s="291"/>
    </row>
    <row r="512" spans="1:16" ht="94.5" hidden="1">
      <c r="A512" s="286" t="s">
        <v>238</v>
      </c>
      <c r="B512" s="287">
        <v>5033</v>
      </c>
      <c r="C512" s="208"/>
      <c r="D512" s="208"/>
      <c r="E512" s="208"/>
      <c r="F512" s="208"/>
      <c r="G512" s="208"/>
      <c r="H512" s="208"/>
      <c r="I512" s="208"/>
      <c r="J512" s="208"/>
      <c r="K512" s="208"/>
      <c r="L512" s="288"/>
      <c r="M512" s="289"/>
      <c r="N512" s="290"/>
      <c r="O512" s="291"/>
      <c r="P512" s="291"/>
    </row>
    <row r="513" spans="1:16" ht="31.5" hidden="1">
      <c r="A513" s="286" t="s">
        <v>75</v>
      </c>
      <c r="B513" s="287">
        <v>5034</v>
      </c>
      <c r="C513" s="208"/>
      <c r="D513" s="208"/>
      <c r="E513" s="208"/>
      <c r="F513" s="208"/>
      <c r="G513" s="208"/>
      <c r="H513" s="208"/>
      <c r="I513" s="208"/>
      <c r="J513" s="208"/>
      <c r="K513" s="208"/>
      <c r="L513" s="288"/>
      <c r="M513" s="289"/>
      <c r="N513" s="290"/>
      <c r="O513" s="291"/>
      <c r="P513" s="291"/>
    </row>
    <row r="514" spans="1:16" ht="78.75" hidden="1">
      <c r="A514" s="286" t="s">
        <v>278</v>
      </c>
      <c r="B514" s="287">
        <v>5035</v>
      </c>
      <c r="C514" s="162" t="s">
        <v>635</v>
      </c>
      <c r="D514" s="150" t="s">
        <v>654</v>
      </c>
      <c r="E514" s="150" t="s">
        <v>659</v>
      </c>
      <c r="F514" s="208"/>
      <c r="G514" s="208"/>
      <c r="H514" s="208"/>
      <c r="I514" s="208"/>
      <c r="J514" s="208"/>
      <c r="K514" s="208"/>
      <c r="L514" s="292" t="s">
        <v>303</v>
      </c>
      <c r="M514" s="293" t="s">
        <v>305</v>
      </c>
      <c r="N514" s="304"/>
      <c r="O514" s="291">
        <f>44.4</f>
        <v>44.4</v>
      </c>
      <c r="P514" s="291">
        <v>0</v>
      </c>
    </row>
    <row r="515" spans="1:16" ht="94.5" hidden="1">
      <c r="A515" s="286" t="s">
        <v>54</v>
      </c>
      <c r="B515" s="287">
        <v>5036</v>
      </c>
      <c r="C515" s="208"/>
      <c r="D515" s="208"/>
      <c r="E515" s="208"/>
      <c r="F515" s="208"/>
      <c r="G515" s="208"/>
      <c r="H515" s="208"/>
      <c r="I515" s="208"/>
      <c r="J515" s="208"/>
      <c r="K515" s="208"/>
      <c r="L515" s="288"/>
      <c r="M515" s="289"/>
      <c r="N515" s="290"/>
      <c r="O515" s="291"/>
      <c r="P515" s="291"/>
    </row>
    <row r="516" spans="1:16" ht="110.25" hidden="1">
      <c r="A516" s="286" t="s">
        <v>279</v>
      </c>
      <c r="B516" s="287">
        <v>5037</v>
      </c>
      <c r="C516" s="208"/>
      <c r="D516" s="208"/>
      <c r="E516" s="208"/>
      <c r="F516" s="208"/>
      <c r="G516" s="208"/>
      <c r="H516" s="208"/>
      <c r="I516" s="208"/>
      <c r="J516" s="208"/>
      <c r="K516" s="208"/>
      <c r="L516" s="288"/>
      <c r="M516" s="289"/>
      <c r="N516" s="290"/>
      <c r="O516" s="291"/>
      <c r="P516" s="291"/>
    </row>
    <row r="517" spans="1:16" ht="110.25" hidden="1">
      <c r="A517" s="286" t="s">
        <v>280</v>
      </c>
      <c r="B517" s="287">
        <v>5038</v>
      </c>
      <c r="C517" s="208"/>
      <c r="D517" s="208"/>
      <c r="E517" s="208"/>
      <c r="F517" s="208"/>
      <c r="G517" s="208"/>
      <c r="H517" s="208"/>
      <c r="I517" s="208"/>
      <c r="J517" s="208"/>
      <c r="K517" s="208"/>
      <c r="L517" s="288"/>
      <c r="M517" s="289"/>
      <c r="N517" s="290"/>
      <c r="O517" s="291"/>
      <c r="P517" s="291"/>
    </row>
    <row r="518" spans="1:16" ht="31.5" hidden="1">
      <c r="A518" s="286" t="s">
        <v>105</v>
      </c>
      <c r="B518" s="287">
        <v>5039</v>
      </c>
      <c r="C518" s="208"/>
      <c r="D518" s="208"/>
      <c r="E518" s="208"/>
      <c r="F518" s="208"/>
      <c r="G518" s="208"/>
      <c r="H518" s="208"/>
      <c r="I518" s="208"/>
      <c r="J518" s="208"/>
      <c r="K518" s="208"/>
      <c r="L518" s="288"/>
      <c r="M518" s="289"/>
      <c r="N518" s="290"/>
      <c r="O518" s="291"/>
      <c r="P518" s="291"/>
    </row>
    <row r="519" spans="1:16" ht="78.75" hidden="1">
      <c r="A519" s="286" t="s">
        <v>240</v>
      </c>
      <c r="B519" s="287">
        <v>5040</v>
      </c>
      <c r="C519" s="208"/>
      <c r="D519" s="208"/>
      <c r="E519" s="208"/>
      <c r="F519" s="208"/>
      <c r="G519" s="208"/>
      <c r="H519" s="208"/>
      <c r="I519" s="208"/>
      <c r="J519" s="208"/>
      <c r="K519" s="208"/>
      <c r="L519" s="288"/>
      <c r="M519" s="289"/>
      <c r="N519" s="290"/>
      <c r="O519" s="291"/>
      <c r="P519" s="291"/>
    </row>
    <row r="520" spans="1:16" ht="15.75" hidden="1">
      <c r="A520" s="286" t="s">
        <v>13</v>
      </c>
      <c r="B520" s="287">
        <v>5041</v>
      </c>
      <c r="C520" s="208"/>
      <c r="D520" s="208"/>
      <c r="E520" s="208"/>
      <c r="F520" s="208"/>
      <c r="G520" s="208"/>
      <c r="H520" s="208"/>
      <c r="I520" s="208"/>
      <c r="J520" s="208"/>
      <c r="K520" s="208"/>
      <c r="L520" s="288"/>
      <c r="M520" s="289"/>
      <c r="N520" s="290"/>
      <c r="O520" s="291"/>
      <c r="P520" s="291"/>
    </row>
    <row r="521" spans="1:16" ht="15.75" hidden="1">
      <c r="A521" s="286" t="s">
        <v>13</v>
      </c>
      <c r="B521" s="302">
        <v>5042</v>
      </c>
      <c r="C521" s="208"/>
      <c r="D521" s="208"/>
      <c r="E521" s="208"/>
      <c r="F521" s="208"/>
      <c r="G521" s="208"/>
      <c r="H521" s="208"/>
      <c r="I521" s="208"/>
      <c r="J521" s="208"/>
      <c r="K521" s="208"/>
      <c r="L521" s="288"/>
      <c r="M521" s="289"/>
      <c r="N521" s="290"/>
      <c r="O521" s="291"/>
      <c r="P521" s="291"/>
    </row>
    <row r="522" spans="1:16" ht="141.75" hidden="1">
      <c r="A522" s="294" t="s">
        <v>281</v>
      </c>
      <c r="B522" s="295">
        <v>5100</v>
      </c>
      <c r="C522" s="210" t="s">
        <v>12</v>
      </c>
      <c r="D522" s="211" t="s">
        <v>12</v>
      </c>
      <c r="E522" s="211" t="s">
        <v>12</v>
      </c>
      <c r="F522" s="210" t="s">
        <v>12</v>
      </c>
      <c r="G522" s="211" t="s">
        <v>12</v>
      </c>
      <c r="H522" s="211" t="s">
        <v>12</v>
      </c>
      <c r="I522" s="211"/>
      <c r="J522" s="211"/>
      <c r="K522" s="211"/>
      <c r="L522" s="296" t="s">
        <v>12</v>
      </c>
      <c r="M522" s="297" t="s">
        <v>12</v>
      </c>
      <c r="N522" s="298"/>
      <c r="O522" s="299">
        <f>SUM(O523:O540)</f>
        <v>32099.5</v>
      </c>
      <c r="P522" s="299">
        <f>SUM(P523:P540)</f>
        <v>27130.399999999998</v>
      </c>
    </row>
    <row r="523" spans="1:16" ht="31.5" hidden="1">
      <c r="A523" s="286" t="s">
        <v>109</v>
      </c>
      <c r="B523" s="287">
        <v>5101</v>
      </c>
      <c r="C523" s="208"/>
      <c r="D523" s="208"/>
      <c r="E523" s="208"/>
      <c r="F523" s="208"/>
      <c r="G523" s="208"/>
      <c r="H523" s="208"/>
      <c r="I523" s="208"/>
      <c r="J523" s="208"/>
      <c r="K523" s="208"/>
      <c r="L523" s="288"/>
      <c r="M523" s="289"/>
      <c r="N523" s="290"/>
      <c r="O523" s="291"/>
      <c r="P523" s="291"/>
    </row>
    <row r="524" spans="1:16" ht="267.75" hidden="1">
      <c r="A524" s="286" t="s">
        <v>110</v>
      </c>
      <c r="B524" s="287">
        <v>5102</v>
      </c>
      <c r="C524" s="162" t="s">
        <v>676</v>
      </c>
      <c r="D524" s="150" t="s">
        <v>677</v>
      </c>
      <c r="E524" s="150" t="s">
        <v>678</v>
      </c>
      <c r="F524" s="150" t="s">
        <v>679</v>
      </c>
      <c r="G524" s="150" t="s">
        <v>681</v>
      </c>
      <c r="H524" s="150" t="s">
        <v>680</v>
      </c>
      <c r="I524" s="150"/>
      <c r="J524" s="150"/>
      <c r="K524" s="150"/>
      <c r="L524" s="292" t="s">
        <v>354</v>
      </c>
      <c r="M524" s="293" t="s">
        <v>709</v>
      </c>
      <c r="N524" s="304"/>
      <c r="O524" s="291">
        <f>20418.9</f>
        <v>20418.9</v>
      </c>
      <c r="P524" s="291">
        <f>21754.5</f>
        <v>21754.5</v>
      </c>
    </row>
    <row r="525" spans="1:16" ht="63" hidden="1">
      <c r="A525" s="286" t="s">
        <v>111</v>
      </c>
      <c r="B525" s="287">
        <v>5103</v>
      </c>
      <c r="C525" s="208"/>
      <c r="D525" s="208"/>
      <c r="E525" s="208"/>
      <c r="F525" s="208"/>
      <c r="G525" s="208"/>
      <c r="H525" s="208"/>
      <c r="I525" s="208"/>
      <c r="J525" s="208"/>
      <c r="K525" s="208"/>
      <c r="L525" s="288"/>
      <c r="M525" s="289"/>
      <c r="N525" s="290"/>
      <c r="O525" s="291"/>
      <c r="P525" s="291"/>
    </row>
    <row r="526" spans="1:16" ht="31.5" hidden="1">
      <c r="A526" s="286" t="s">
        <v>112</v>
      </c>
      <c r="B526" s="287">
        <v>5104</v>
      </c>
      <c r="C526" s="208"/>
      <c r="D526" s="208"/>
      <c r="E526" s="208"/>
      <c r="F526" s="208"/>
      <c r="G526" s="208"/>
      <c r="H526" s="208"/>
      <c r="I526" s="208"/>
      <c r="J526" s="208"/>
      <c r="K526" s="208"/>
      <c r="L526" s="288"/>
      <c r="M526" s="289"/>
      <c r="N526" s="290"/>
      <c r="O526" s="291"/>
      <c r="P526" s="291"/>
    </row>
    <row r="527" spans="1:16" ht="157.5" hidden="1">
      <c r="A527" s="286" t="s">
        <v>113</v>
      </c>
      <c r="B527" s="287">
        <v>5105</v>
      </c>
      <c r="C527" s="208"/>
      <c r="D527" s="208"/>
      <c r="E527" s="208"/>
      <c r="F527" s="208"/>
      <c r="G527" s="208"/>
      <c r="H527" s="208"/>
      <c r="I527" s="208"/>
      <c r="J527" s="208"/>
      <c r="K527" s="208"/>
      <c r="L527" s="288"/>
      <c r="M527" s="289"/>
      <c r="N527" s="290"/>
      <c r="O527" s="291"/>
      <c r="P527" s="291"/>
    </row>
    <row r="528" spans="1:16" ht="94.5" hidden="1">
      <c r="A528" s="286" t="s">
        <v>114</v>
      </c>
      <c r="B528" s="287">
        <v>5106</v>
      </c>
      <c r="C528" s="208"/>
      <c r="D528" s="208"/>
      <c r="E528" s="208"/>
      <c r="F528" s="208"/>
      <c r="G528" s="208"/>
      <c r="H528" s="208"/>
      <c r="I528" s="208"/>
      <c r="J528" s="208"/>
      <c r="K528" s="208"/>
      <c r="L528" s="288"/>
      <c r="M528" s="289"/>
      <c r="N528" s="290"/>
      <c r="O528" s="291"/>
      <c r="P528" s="291"/>
    </row>
    <row r="529" spans="1:16" ht="110.25" hidden="1">
      <c r="A529" s="286" t="s">
        <v>115</v>
      </c>
      <c r="B529" s="287">
        <v>5107</v>
      </c>
      <c r="C529" s="208"/>
      <c r="D529" s="208"/>
      <c r="E529" s="208"/>
      <c r="F529" s="208"/>
      <c r="G529" s="208"/>
      <c r="H529" s="208"/>
      <c r="I529" s="208"/>
      <c r="J529" s="208"/>
      <c r="K529" s="208"/>
      <c r="L529" s="288"/>
      <c r="M529" s="289"/>
      <c r="N529" s="290"/>
      <c r="O529" s="291"/>
      <c r="P529" s="291"/>
    </row>
    <row r="530" spans="1:16" ht="63" hidden="1">
      <c r="A530" s="286" t="s">
        <v>116</v>
      </c>
      <c r="B530" s="287">
        <v>5108</v>
      </c>
      <c r="C530" s="208"/>
      <c r="D530" s="208"/>
      <c r="E530" s="208"/>
      <c r="F530" s="208"/>
      <c r="G530" s="208"/>
      <c r="H530" s="208"/>
      <c r="I530" s="208"/>
      <c r="J530" s="208"/>
      <c r="K530" s="208"/>
      <c r="L530" s="288"/>
      <c r="M530" s="289"/>
      <c r="N530" s="290"/>
      <c r="O530" s="291"/>
      <c r="P530" s="291"/>
    </row>
    <row r="531" spans="1:16" ht="63" hidden="1">
      <c r="A531" s="286" t="s">
        <v>117</v>
      </c>
      <c r="B531" s="287">
        <v>5109</v>
      </c>
      <c r="C531" s="208"/>
      <c r="D531" s="208"/>
      <c r="E531" s="208"/>
      <c r="F531" s="208"/>
      <c r="G531" s="208"/>
      <c r="H531" s="208"/>
      <c r="I531" s="208"/>
      <c r="J531" s="208"/>
      <c r="K531" s="208"/>
      <c r="L531" s="288"/>
      <c r="M531" s="289"/>
      <c r="N531" s="290"/>
      <c r="O531" s="291"/>
      <c r="P531" s="291"/>
    </row>
    <row r="532" spans="1:16" ht="173.25" hidden="1">
      <c r="A532" s="286" t="s">
        <v>118</v>
      </c>
      <c r="B532" s="305">
        <v>5110</v>
      </c>
      <c r="C532" s="162" t="s">
        <v>635</v>
      </c>
      <c r="D532" s="150" t="s">
        <v>685</v>
      </c>
      <c r="E532" s="150" t="s">
        <v>686</v>
      </c>
      <c r="F532" s="150" t="s">
        <v>683</v>
      </c>
      <c r="G532" s="150" t="s">
        <v>684</v>
      </c>
      <c r="H532" s="150" t="s">
        <v>682</v>
      </c>
      <c r="I532" s="150"/>
      <c r="J532" s="150"/>
      <c r="K532" s="150"/>
      <c r="L532" s="292" t="s">
        <v>303</v>
      </c>
      <c r="M532" s="293" t="s">
        <v>301</v>
      </c>
      <c r="N532" s="304"/>
      <c r="O532" s="291">
        <f>750</f>
        <v>750</v>
      </c>
      <c r="P532" s="291"/>
    </row>
    <row r="533" spans="1:16" ht="189" hidden="1">
      <c r="A533" s="286" t="s">
        <v>119</v>
      </c>
      <c r="B533" s="287">
        <v>5111</v>
      </c>
      <c r="C533" s="162" t="s">
        <v>635</v>
      </c>
      <c r="D533" s="150" t="s">
        <v>687</v>
      </c>
      <c r="E533" s="150" t="s">
        <v>686</v>
      </c>
      <c r="F533" s="208"/>
      <c r="G533" s="208"/>
      <c r="H533" s="208"/>
      <c r="I533" s="208"/>
      <c r="J533" s="208"/>
      <c r="K533" s="208"/>
      <c r="L533" s="292" t="s">
        <v>303</v>
      </c>
      <c r="M533" s="293" t="s">
        <v>305</v>
      </c>
      <c r="N533" s="304"/>
      <c r="O533" s="291">
        <f>327.8</f>
        <v>327.8</v>
      </c>
      <c r="P533" s="291"/>
    </row>
    <row r="534" spans="1:16" ht="173.25" hidden="1">
      <c r="A534" s="286" t="s">
        <v>120</v>
      </c>
      <c r="B534" s="287">
        <v>5112</v>
      </c>
      <c r="C534" s="162" t="s">
        <v>635</v>
      </c>
      <c r="D534" s="150" t="s">
        <v>688</v>
      </c>
      <c r="E534" s="150" t="s">
        <v>686</v>
      </c>
      <c r="F534" s="208"/>
      <c r="G534" s="208"/>
      <c r="H534" s="208"/>
      <c r="I534" s="208"/>
      <c r="J534" s="208"/>
      <c r="K534" s="208"/>
      <c r="L534" s="292" t="s">
        <v>303</v>
      </c>
      <c r="M534" s="293" t="s">
        <v>305</v>
      </c>
      <c r="N534" s="304"/>
      <c r="O534" s="291">
        <f>159</f>
        <v>159</v>
      </c>
      <c r="P534" s="291"/>
    </row>
    <row r="535" spans="1:16" ht="189" hidden="1">
      <c r="A535" s="286" t="s">
        <v>121</v>
      </c>
      <c r="B535" s="287">
        <v>5113</v>
      </c>
      <c r="C535" s="162" t="s">
        <v>635</v>
      </c>
      <c r="D535" s="150" t="s">
        <v>689</v>
      </c>
      <c r="E535" s="150" t="s">
        <v>686</v>
      </c>
      <c r="F535" s="208"/>
      <c r="G535" s="208"/>
      <c r="H535" s="208"/>
      <c r="I535" s="208"/>
      <c r="J535" s="208"/>
      <c r="K535" s="208"/>
      <c r="L535" s="292" t="s">
        <v>303</v>
      </c>
      <c r="M535" s="293" t="s">
        <v>305</v>
      </c>
      <c r="N535" s="304"/>
      <c r="O535" s="291">
        <f>254.7</f>
        <v>254.7</v>
      </c>
      <c r="P535" s="291">
        <v>917.6</v>
      </c>
    </row>
    <row r="536" spans="1:16" ht="47.25" hidden="1">
      <c r="A536" s="286" t="s">
        <v>122</v>
      </c>
      <c r="B536" s="287">
        <v>5114</v>
      </c>
      <c r="C536" s="208"/>
      <c r="D536" s="208"/>
      <c r="E536" s="208"/>
      <c r="F536" s="208"/>
      <c r="G536" s="208"/>
      <c r="H536" s="208"/>
      <c r="I536" s="208"/>
      <c r="J536" s="208"/>
      <c r="K536" s="208"/>
      <c r="L536" s="292"/>
      <c r="M536" s="293"/>
      <c r="N536" s="304"/>
      <c r="O536" s="291"/>
      <c r="P536" s="291"/>
    </row>
    <row r="537" spans="1:16" ht="236.25" hidden="1">
      <c r="A537" s="286" t="s">
        <v>123</v>
      </c>
      <c r="B537" s="287">
        <v>5115</v>
      </c>
      <c r="C537" s="208"/>
      <c r="D537" s="208"/>
      <c r="E537" s="208"/>
      <c r="F537" s="208"/>
      <c r="G537" s="208"/>
      <c r="H537" s="208"/>
      <c r="I537" s="208"/>
      <c r="J537" s="208"/>
      <c r="K537" s="208"/>
      <c r="L537" s="292"/>
      <c r="M537" s="293"/>
      <c r="N537" s="304"/>
      <c r="O537" s="291"/>
      <c r="P537" s="291"/>
    </row>
    <row r="538" spans="1:16" ht="204.75" hidden="1">
      <c r="A538" s="286" t="s">
        <v>124</v>
      </c>
      <c r="B538" s="287">
        <v>5116</v>
      </c>
      <c r="C538" s="208"/>
      <c r="D538" s="208"/>
      <c r="E538" s="208"/>
      <c r="F538" s="208"/>
      <c r="G538" s="208"/>
      <c r="H538" s="208"/>
      <c r="I538" s="208"/>
      <c r="J538" s="208"/>
      <c r="K538" s="208"/>
      <c r="L538" s="292"/>
      <c r="M538" s="293"/>
      <c r="N538" s="304"/>
      <c r="O538" s="291"/>
      <c r="P538" s="291"/>
    </row>
    <row r="539" spans="1:16" ht="63" hidden="1">
      <c r="A539" s="286" t="s">
        <v>731</v>
      </c>
      <c r="B539" s="287">
        <v>5117</v>
      </c>
      <c r="C539" s="202" t="s">
        <v>732</v>
      </c>
      <c r="D539" s="150" t="s">
        <v>733</v>
      </c>
      <c r="E539" s="150" t="s">
        <v>734</v>
      </c>
      <c r="F539" s="208"/>
      <c r="G539" s="208"/>
      <c r="H539" s="208"/>
      <c r="I539" s="208"/>
      <c r="J539" s="208"/>
      <c r="K539" s="208"/>
      <c r="L539" s="292"/>
      <c r="M539" s="293"/>
      <c r="N539" s="304"/>
      <c r="O539" s="291">
        <v>10189.1</v>
      </c>
      <c r="P539" s="291">
        <v>4458.3</v>
      </c>
    </row>
    <row r="540" spans="1:16" ht="15.75" hidden="1">
      <c r="A540" s="286" t="s">
        <v>13</v>
      </c>
      <c r="B540" s="287">
        <v>5118</v>
      </c>
      <c r="C540" s="208"/>
      <c r="D540" s="208"/>
      <c r="E540" s="208"/>
      <c r="F540" s="208"/>
      <c r="G540" s="208"/>
      <c r="H540" s="208"/>
      <c r="I540" s="208"/>
      <c r="J540" s="208"/>
      <c r="K540" s="208"/>
      <c r="L540" s="292"/>
      <c r="M540" s="293"/>
      <c r="N540" s="304"/>
      <c r="O540" s="291"/>
      <c r="P540" s="291"/>
    </row>
    <row r="541" spans="1:16" ht="141.75" hidden="1">
      <c r="A541" s="294" t="s">
        <v>35</v>
      </c>
      <c r="B541" s="295">
        <v>5200</v>
      </c>
      <c r="C541" s="210" t="s">
        <v>12</v>
      </c>
      <c r="D541" s="211" t="s">
        <v>12</v>
      </c>
      <c r="E541" s="211" t="s">
        <v>12</v>
      </c>
      <c r="F541" s="210" t="s">
        <v>12</v>
      </c>
      <c r="G541" s="211" t="s">
        <v>12</v>
      </c>
      <c r="H541" s="211" t="s">
        <v>12</v>
      </c>
      <c r="I541" s="211"/>
      <c r="J541" s="211"/>
      <c r="K541" s="211"/>
      <c r="L541" s="296" t="s">
        <v>12</v>
      </c>
      <c r="M541" s="297" t="s">
        <v>12</v>
      </c>
      <c r="N541" s="298"/>
      <c r="O541" s="299">
        <f>O542+O556+O559</f>
        <v>0</v>
      </c>
      <c r="P541" s="299">
        <f>P542+P556+P559</f>
        <v>0</v>
      </c>
    </row>
    <row r="542" spans="1:16" ht="78.75" hidden="1">
      <c r="A542" s="294" t="s">
        <v>282</v>
      </c>
      <c r="B542" s="295">
        <v>5201</v>
      </c>
      <c r="C542" s="210" t="s">
        <v>12</v>
      </c>
      <c r="D542" s="211" t="s">
        <v>12</v>
      </c>
      <c r="E542" s="211" t="s">
        <v>12</v>
      </c>
      <c r="F542" s="210" t="s">
        <v>12</v>
      </c>
      <c r="G542" s="211" t="s">
        <v>12</v>
      </c>
      <c r="H542" s="211" t="s">
        <v>12</v>
      </c>
      <c r="I542" s="211"/>
      <c r="J542" s="211"/>
      <c r="K542" s="211"/>
      <c r="L542" s="296" t="s">
        <v>12</v>
      </c>
      <c r="M542" s="297" t="s">
        <v>12</v>
      </c>
      <c r="N542" s="298"/>
      <c r="O542" s="299">
        <f>SUM(O543:O555)</f>
        <v>0</v>
      </c>
      <c r="P542" s="299">
        <f>SUM(P543:P555)</f>
        <v>0</v>
      </c>
    </row>
    <row r="543" spans="1:16" ht="15.75" hidden="1">
      <c r="A543" s="286" t="s">
        <v>283</v>
      </c>
      <c r="B543" s="287">
        <v>5202</v>
      </c>
      <c r="C543" s="208"/>
      <c r="D543" s="208"/>
      <c r="E543" s="208"/>
      <c r="F543" s="208"/>
      <c r="G543" s="208"/>
      <c r="H543" s="208"/>
      <c r="I543" s="208"/>
      <c r="J543" s="208"/>
      <c r="K543" s="208"/>
      <c r="L543" s="288"/>
      <c r="M543" s="289"/>
      <c r="N543" s="290"/>
      <c r="O543" s="291"/>
      <c r="P543" s="291"/>
    </row>
    <row r="544" spans="1:16" ht="63" hidden="1">
      <c r="A544" s="286" t="s">
        <v>284</v>
      </c>
      <c r="B544" s="287">
        <v>5203</v>
      </c>
      <c r="C544" s="208"/>
      <c r="D544" s="208"/>
      <c r="E544" s="208"/>
      <c r="F544" s="208"/>
      <c r="G544" s="208"/>
      <c r="H544" s="208"/>
      <c r="I544" s="208"/>
      <c r="J544" s="208"/>
      <c r="K544" s="208"/>
      <c r="L544" s="288"/>
      <c r="M544" s="289"/>
      <c r="N544" s="290"/>
      <c r="O544" s="291"/>
      <c r="P544" s="291"/>
    </row>
    <row r="545" spans="1:16" ht="31.5" hidden="1">
      <c r="A545" s="286" t="s">
        <v>126</v>
      </c>
      <c r="B545" s="287">
        <v>5204</v>
      </c>
      <c r="C545" s="208"/>
      <c r="D545" s="208"/>
      <c r="E545" s="208"/>
      <c r="F545" s="208"/>
      <c r="G545" s="208"/>
      <c r="H545" s="208"/>
      <c r="I545" s="208"/>
      <c r="J545" s="208"/>
      <c r="K545" s="208"/>
      <c r="L545" s="288"/>
      <c r="M545" s="289"/>
      <c r="N545" s="290"/>
      <c r="O545" s="291"/>
      <c r="P545" s="291"/>
    </row>
    <row r="546" spans="1:16" ht="78.75" hidden="1">
      <c r="A546" s="286" t="s">
        <v>285</v>
      </c>
      <c r="B546" s="287">
        <v>5205</v>
      </c>
      <c r="C546" s="208"/>
      <c r="D546" s="208"/>
      <c r="E546" s="208"/>
      <c r="F546" s="208"/>
      <c r="G546" s="208"/>
      <c r="H546" s="208"/>
      <c r="I546" s="208"/>
      <c r="J546" s="208"/>
      <c r="K546" s="208"/>
      <c r="L546" s="288"/>
      <c r="M546" s="289"/>
      <c r="N546" s="290"/>
      <c r="O546" s="291"/>
      <c r="P546" s="291"/>
    </row>
    <row r="547" spans="1:16" ht="78.75" hidden="1">
      <c r="A547" s="286" t="s">
        <v>286</v>
      </c>
      <c r="B547" s="287">
        <v>5206</v>
      </c>
      <c r="C547" s="208"/>
      <c r="D547" s="208"/>
      <c r="E547" s="208"/>
      <c r="F547" s="208"/>
      <c r="G547" s="208"/>
      <c r="H547" s="208"/>
      <c r="I547" s="208"/>
      <c r="J547" s="208"/>
      <c r="K547" s="208"/>
      <c r="L547" s="288"/>
      <c r="M547" s="289"/>
      <c r="N547" s="290"/>
      <c r="O547" s="291"/>
      <c r="P547" s="291"/>
    </row>
    <row r="548" spans="1:16" ht="78.75" hidden="1">
      <c r="A548" s="286" t="s">
        <v>287</v>
      </c>
      <c r="B548" s="287">
        <v>5207</v>
      </c>
      <c r="C548" s="208"/>
      <c r="D548" s="208"/>
      <c r="E548" s="208"/>
      <c r="F548" s="208"/>
      <c r="G548" s="208"/>
      <c r="H548" s="208"/>
      <c r="I548" s="208"/>
      <c r="J548" s="208"/>
      <c r="K548" s="208"/>
      <c r="L548" s="288"/>
      <c r="M548" s="289"/>
      <c r="N548" s="290"/>
      <c r="O548" s="291"/>
      <c r="P548" s="291"/>
    </row>
    <row r="549" spans="1:16" ht="31.5" hidden="1">
      <c r="A549" s="286" t="s">
        <v>225</v>
      </c>
      <c r="B549" s="287">
        <v>5208</v>
      </c>
      <c r="C549" s="208"/>
      <c r="D549" s="208"/>
      <c r="E549" s="208"/>
      <c r="F549" s="208"/>
      <c r="G549" s="208"/>
      <c r="H549" s="208"/>
      <c r="I549" s="208"/>
      <c r="J549" s="208"/>
      <c r="K549" s="208"/>
      <c r="L549" s="288"/>
      <c r="M549" s="289"/>
      <c r="N549" s="290"/>
      <c r="O549" s="291"/>
      <c r="P549" s="291"/>
    </row>
    <row r="550" spans="1:16" ht="15.75" hidden="1">
      <c r="A550" s="286" t="s">
        <v>130</v>
      </c>
      <c r="B550" s="287">
        <v>5209</v>
      </c>
      <c r="C550" s="208"/>
      <c r="D550" s="208"/>
      <c r="E550" s="208"/>
      <c r="F550" s="208"/>
      <c r="G550" s="208"/>
      <c r="H550" s="208"/>
      <c r="I550" s="208"/>
      <c r="J550" s="208"/>
      <c r="K550" s="208"/>
      <c r="L550" s="288"/>
      <c r="M550" s="289"/>
      <c r="N550" s="290"/>
      <c r="O550" s="291"/>
      <c r="P550" s="291"/>
    </row>
    <row r="551" spans="1:16" ht="94.5" hidden="1">
      <c r="A551" s="286" t="s">
        <v>131</v>
      </c>
      <c r="B551" s="287">
        <v>5210</v>
      </c>
      <c r="C551" s="208"/>
      <c r="D551" s="208"/>
      <c r="E551" s="208"/>
      <c r="F551" s="208"/>
      <c r="G551" s="208"/>
      <c r="H551" s="208"/>
      <c r="I551" s="208"/>
      <c r="J551" s="208"/>
      <c r="K551" s="208"/>
      <c r="L551" s="288"/>
      <c r="M551" s="289"/>
      <c r="N551" s="290"/>
      <c r="O551" s="291"/>
      <c r="P551" s="291"/>
    </row>
    <row r="552" spans="1:16" ht="126" hidden="1">
      <c r="A552" s="286" t="s">
        <v>132</v>
      </c>
      <c r="B552" s="287">
        <v>5211</v>
      </c>
      <c r="C552" s="208"/>
      <c r="D552" s="208"/>
      <c r="E552" s="208"/>
      <c r="F552" s="208"/>
      <c r="G552" s="208"/>
      <c r="H552" s="208"/>
      <c r="I552" s="208"/>
      <c r="J552" s="208"/>
      <c r="K552" s="208"/>
      <c r="L552" s="288"/>
      <c r="M552" s="289"/>
      <c r="N552" s="290"/>
      <c r="O552" s="291"/>
      <c r="P552" s="291"/>
    </row>
    <row r="553" spans="1:16" ht="78.75" hidden="1">
      <c r="A553" s="286" t="s">
        <v>135</v>
      </c>
      <c r="B553" s="287">
        <v>5212</v>
      </c>
      <c r="C553" s="208"/>
      <c r="D553" s="208"/>
      <c r="E553" s="208"/>
      <c r="F553" s="208"/>
      <c r="G553" s="208"/>
      <c r="H553" s="208"/>
      <c r="I553" s="208"/>
      <c r="J553" s="208"/>
      <c r="K553" s="208"/>
      <c r="L553" s="288"/>
      <c r="M553" s="289"/>
      <c r="N553" s="290"/>
      <c r="O553" s="291"/>
      <c r="P553" s="291"/>
    </row>
    <row r="554" spans="1:16" ht="94.5" hidden="1">
      <c r="A554" s="286" t="s">
        <v>226</v>
      </c>
      <c r="B554" s="287">
        <v>5213</v>
      </c>
      <c r="C554" s="208"/>
      <c r="D554" s="208"/>
      <c r="E554" s="208"/>
      <c r="F554" s="208"/>
      <c r="G554" s="208"/>
      <c r="H554" s="208"/>
      <c r="I554" s="208"/>
      <c r="J554" s="208"/>
      <c r="K554" s="208"/>
      <c r="L554" s="288"/>
      <c r="M554" s="289"/>
      <c r="N554" s="290"/>
      <c r="O554" s="291"/>
      <c r="P554" s="291"/>
    </row>
    <row r="555" spans="1:16" ht="63" hidden="1">
      <c r="A555" s="286" t="s">
        <v>288</v>
      </c>
      <c r="B555" s="287">
        <v>5214</v>
      </c>
      <c r="C555" s="208"/>
      <c r="D555" s="208"/>
      <c r="E555" s="208"/>
      <c r="F555" s="208"/>
      <c r="G555" s="208"/>
      <c r="H555" s="208"/>
      <c r="I555" s="208"/>
      <c r="J555" s="208"/>
      <c r="K555" s="208"/>
      <c r="L555" s="288"/>
      <c r="M555" s="289"/>
      <c r="N555" s="290"/>
      <c r="O555" s="291"/>
      <c r="P555" s="291"/>
    </row>
    <row r="556" spans="1:16" ht="141.75" hidden="1">
      <c r="A556" s="294" t="s">
        <v>289</v>
      </c>
      <c r="B556" s="295">
        <v>5300</v>
      </c>
      <c r="C556" s="210" t="s">
        <v>12</v>
      </c>
      <c r="D556" s="211" t="s">
        <v>12</v>
      </c>
      <c r="E556" s="211" t="s">
        <v>12</v>
      </c>
      <c r="F556" s="210" t="s">
        <v>12</v>
      </c>
      <c r="G556" s="211" t="s">
        <v>12</v>
      </c>
      <c r="H556" s="211" t="s">
        <v>12</v>
      </c>
      <c r="I556" s="211"/>
      <c r="J556" s="211"/>
      <c r="K556" s="211"/>
      <c r="L556" s="296" t="s">
        <v>12</v>
      </c>
      <c r="M556" s="297" t="s">
        <v>12</v>
      </c>
      <c r="N556" s="298"/>
      <c r="O556" s="299">
        <f>SUM(O557:O558)</f>
        <v>0</v>
      </c>
      <c r="P556" s="299">
        <f>SUM(P557:P558)</f>
        <v>0</v>
      </c>
    </row>
    <row r="557" spans="1:16" ht="15.75" hidden="1">
      <c r="A557" s="286" t="s">
        <v>13</v>
      </c>
      <c r="B557" s="287">
        <v>5301</v>
      </c>
      <c r="C557" s="202"/>
      <c r="D557" s="216"/>
      <c r="E557" s="216"/>
      <c r="F557" s="202"/>
      <c r="G557" s="216"/>
      <c r="H557" s="216"/>
      <c r="I557" s="216"/>
      <c r="J557" s="216"/>
      <c r="K557" s="216"/>
      <c r="L557" s="292"/>
      <c r="M557" s="293"/>
      <c r="N557" s="290"/>
      <c r="O557" s="291"/>
      <c r="P557" s="291"/>
    </row>
    <row r="558" spans="1:16" ht="15.75" hidden="1">
      <c r="A558" s="286" t="s">
        <v>13</v>
      </c>
      <c r="B558" s="287">
        <v>5302</v>
      </c>
      <c r="C558" s="202"/>
      <c r="D558" s="216"/>
      <c r="E558" s="216"/>
      <c r="F558" s="202"/>
      <c r="G558" s="216"/>
      <c r="H558" s="216"/>
      <c r="I558" s="216"/>
      <c r="J558" s="216"/>
      <c r="K558" s="216"/>
      <c r="L558" s="292"/>
      <c r="M558" s="293"/>
      <c r="N558" s="290"/>
      <c r="O558" s="291"/>
      <c r="P558" s="291"/>
    </row>
    <row r="559" spans="1:16" ht="126" hidden="1">
      <c r="A559" s="294" t="s">
        <v>290</v>
      </c>
      <c r="B559" s="295">
        <v>5400</v>
      </c>
      <c r="C559" s="210" t="s">
        <v>12</v>
      </c>
      <c r="D559" s="211" t="s">
        <v>12</v>
      </c>
      <c r="E559" s="211" t="s">
        <v>12</v>
      </c>
      <c r="F559" s="210" t="s">
        <v>12</v>
      </c>
      <c r="G559" s="211" t="s">
        <v>12</v>
      </c>
      <c r="H559" s="211" t="s">
        <v>12</v>
      </c>
      <c r="I559" s="211"/>
      <c r="J559" s="211"/>
      <c r="K559" s="211"/>
      <c r="L559" s="296" t="s">
        <v>12</v>
      </c>
      <c r="M559" s="297" t="s">
        <v>12</v>
      </c>
      <c r="N559" s="298"/>
      <c r="O559" s="299">
        <f>SUM(O560:O561)</f>
        <v>0</v>
      </c>
      <c r="P559" s="299">
        <f>SUM(P560:P561)</f>
        <v>0</v>
      </c>
    </row>
    <row r="560" spans="1:16" ht="15.75" hidden="1">
      <c r="A560" s="286" t="s">
        <v>13</v>
      </c>
      <c r="B560" s="287">
        <v>5401</v>
      </c>
      <c r="C560" s="202"/>
      <c r="D560" s="216"/>
      <c r="E560" s="216"/>
      <c r="F560" s="202"/>
      <c r="G560" s="216"/>
      <c r="H560" s="216"/>
      <c r="I560" s="216"/>
      <c r="J560" s="216"/>
      <c r="K560" s="216"/>
      <c r="L560" s="292"/>
      <c r="M560" s="293"/>
      <c r="N560" s="290"/>
      <c r="O560" s="291"/>
      <c r="P560" s="291"/>
    </row>
    <row r="561" spans="1:16" ht="15.75" hidden="1">
      <c r="A561" s="286" t="s">
        <v>13</v>
      </c>
      <c r="B561" s="287">
        <v>5402</v>
      </c>
      <c r="C561" s="202"/>
      <c r="D561" s="216"/>
      <c r="E561" s="216"/>
      <c r="F561" s="202"/>
      <c r="G561" s="216"/>
      <c r="H561" s="216"/>
      <c r="I561" s="216"/>
      <c r="J561" s="216"/>
      <c r="K561" s="216"/>
      <c r="L561" s="292"/>
      <c r="M561" s="293"/>
      <c r="N561" s="290"/>
      <c r="O561" s="291"/>
      <c r="P561" s="291"/>
    </row>
    <row r="562" spans="1:16" ht="173.25" hidden="1">
      <c r="A562" s="294" t="s">
        <v>36</v>
      </c>
      <c r="B562" s="295">
        <v>5500</v>
      </c>
      <c r="C562" s="210" t="s">
        <v>12</v>
      </c>
      <c r="D562" s="211" t="s">
        <v>12</v>
      </c>
      <c r="E562" s="211" t="s">
        <v>12</v>
      </c>
      <c r="F562" s="210" t="s">
        <v>12</v>
      </c>
      <c r="G562" s="211" t="s">
        <v>12</v>
      </c>
      <c r="H562" s="211" t="s">
        <v>12</v>
      </c>
      <c r="I562" s="211"/>
      <c r="J562" s="211"/>
      <c r="K562" s="211"/>
      <c r="L562" s="296" t="s">
        <v>12</v>
      </c>
      <c r="M562" s="297" t="s">
        <v>12</v>
      </c>
      <c r="N562" s="298"/>
      <c r="O562" s="299">
        <f>O563+O601</f>
        <v>7630.4</v>
      </c>
      <c r="P562" s="299">
        <f>P563+P601</f>
        <v>6832</v>
      </c>
    </row>
    <row r="563" spans="1:16" ht="63" hidden="1">
      <c r="A563" s="294" t="s">
        <v>291</v>
      </c>
      <c r="B563" s="295">
        <v>5501</v>
      </c>
      <c r="C563" s="210" t="s">
        <v>12</v>
      </c>
      <c r="D563" s="211" t="s">
        <v>12</v>
      </c>
      <c r="E563" s="211" t="s">
        <v>12</v>
      </c>
      <c r="F563" s="210" t="s">
        <v>12</v>
      </c>
      <c r="G563" s="211" t="s">
        <v>12</v>
      </c>
      <c r="H563" s="211" t="s">
        <v>12</v>
      </c>
      <c r="I563" s="211"/>
      <c r="J563" s="211"/>
      <c r="K563" s="211"/>
      <c r="L563" s="296" t="s">
        <v>12</v>
      </c>
      <c r="M563" s="297" t="s">
        <v>12</v>
      </c>
      <c r="N563" s="298"/>
      <c r="O563" s="299">
        <f>SUM(O564:O600)</f>
        <v>7630.4</v>
      </c>
      <c r="P563" s="299">
        <f>SUM(P564:P600)</f>
        <v>6832</v>
      </c>
    </row>
    <row r="564" spans="1:16" ht="78.75" hidden="1">
      <c r="A564" s="286" t="s">
        <v>141</v>
      </c>
      <c r="B564" s="287">
        <v>5502</v>
      </c>
      <c r="C564" s="202"/>
      <c r="D564" s="216"/>
      <c r="E564" s="216"/>
      <c r="F564" s="202"/>
      <c r="G564" s="216"/>
      <c r="H564" s="216"/>
      <c r="I564" s="216"/>
      <c r="J564" s="216"/>
      <c r="K564" s="216"/>
      <c r="L564" s="292"/>
      <c r="M564" s="293"/>
      <c r="N564" s="290"/>
      <c r="O564" s="291"/>
      <c r="P564" s="291"/>
    </row>
    <row r="565" spans="1:16" ht="78.75" hidden="1">
      <c r="A565" s="286" t="s">
        <v>142</v>
      </c>
      <c r="B565" s="287">
        <v>5503</v>
      </c>
      <c r="C565" s="202"/>
      <c r="D565" s="216"/>
      <c r="E565" s="216"/>
      <c r="F565" s="202"/>
      <c r="G565" s="216"/>
      <c r="H565" s="216"/>
      <c r="I565" s="216"/>
      <c r="J565" s="216"/>
      <c r="K565" s="216"/>
      <c r="L565" s="292"/>
      <c r="M565" s="293"/>
      <c r="N565" s="290"/>
      <c r="O565" s="291"/>
      <c r="P565" s="291"/>
    </row>
    <row r="566" spans="1:16" ht="94.5" hidden="1">
      <c r="A566" s="286" t="s">
        <v>143</v>
      </c>
      <c r="B566" s="287">
        <v>5504</v>
      </c>
      <c r="C566" s="202"/>
      <c r="D566" s="216"/>
      <c r="E566" s="216"/>
      <c r="F566" s="202"/>
      <c r="G566" s="216"/>
      <c r="H566" s="216"/>
      <c r="I566" s="216"/>
      <c r="J566" s="216"/>
      <c r="K566" s="216"/>
      <c r="L566" s="292"/>
      <c r="M566" s="293"/>
      <c r="N566" s="290"/>
      <c r="O566" s="291"/>
      <c r="P566" s="291"/>
    </row>
    <row r="567" spans="1:16" ht="78.75" hidden="1">
      <c r="A567" s="286" t="s">
        <v>144</v>
      </c>
      <c r="B567" s="287">
        <v>5505</v>
      </c>
      <c r="C567" s="202"/>
      <c r="D567" s="216"/>
      <c r="E567" s="216"/>
      <c r="F567" s="202"/>
      <c r="G567" s="216"/>
      <c r="H567" s="216"/>
      <c r="I567" s="216"/>
      <c r="J567" s="216"/>
      <c r="K567" s="216"/>
      <c r="L567" s="292"/>
      <c r="M567" s="293"/>
      <c r="N567" s="290"/>
      <c r="O567" s="291">
        <f>2.7</f>
        <v>2.7</v>
      </c>
      <c r="P567" s="291">
        <f>2.5</f>
        <v>2.5</v>
      </c>
    </row>
    <row r="568" spans="1:16" ht="47.25" hidden="1">
      <c r="A568" s="286" t="s">
        <v>145</v>
      </c>
      <c r="B568" s="287">
        <v>5506</v>
      </c>
      <c r="C568" s="202"/>
      <c r="D568" s="216"/>
      <c r="E568" s="216"/>
      <c r="F568" s="202"/>
      <c r="G568" s="216"/>
      <c r="H568" s="216"/>
      <c r="I568" s="216"/>
      <c r="J568" s="216"/>
      <c r="K568" s="216"/>
      <c r="L568" s="292"/>
      <c r="M568" s="293"/>
      <c r="N568" s="290"/>
      <c r="O568" s="291"/>
      <c r="P568" s="291"/>
    </row>
    <row r="569" spans="1:16" ht="31.5" hidden="1">
      <c r="A569" s="286" t="s">
        <v>146</v>
      </c>
      <c r="B569" s="287">
        <v>5507</v>
      </c>
      <c r="C569" s="202"/>
      <c r="D569" s="216"/>
      <c r="E569" s="216"/>
      <c r="F569" s="202"/>
      <c r="G569" s="216"/>
      <c r="H569" s="216"/>
      <c r="I569" s="216"/>
      <c r="J569" s="216"/>
      <c r="K569" s="216"/>
      <c r="L569" s="292"/>
      <c r="M569" s="293"/>
      <c r="N569" s="290"/>
      <c r="O569" s="291"/>
      <c r="P569" s="291"/>
    </row>
    <row r="570" spans="1:16" ht="47.25" hidden="1">
      <c r="A570" s="286" t="s">
        <v>147</v>
      </c>
      <c r="B570" s="287">
        <v>5508</v>
      </c>
      <c r="C570" s="202"/>
      <c r="D570" s="216"/>
      <c r="E570" s="216"/>
      <c r="F570" s="202"/>
      <c r="G570" s="216"/>
      <c r="H570" s="216"/>
      <c r="I570" s="216"/>
      <c r="J570" s="216"/>
      <c r="K570" s="216"/>
      <c r="L570" s="292"/>
      <c r="M570" s="293"/>
      <c r="N570" s="290"/>
      <c r="O570" s="291">
        <f>5171.4</f>
        <v>5171.4</v>
      </c>
      <c r="P570" s="291">
        <f>4120.2</f>
        <v>4120.2</v>
      </c>
    </row>
    <row r="571" spans="1:16" ht="47.25" hidden="1">
      <c r="A571" s="286" t="s">
        <v>148</v>
      </c>
      <c r="B571" s="287">
        <v>5509</v>
      </c>
      <c r="C571" s="202"/>
      <c r="D571" s="216"/>
      <c r="E571" s="216"/>
      <c r="F571" s="202"/>
      <c r="G571" s="216"/>
      <c r="H571" s="216"/>
      <c r="I571" s="216"/>
      <c r="J571" s="216"/>
      <c r="K571" s="216"/>
      <c r="L571" s="292"/>
      <c r="M571" s="293"/>
      <c r="N571" s="290"/>
      <c r="O571" s="291"/>
      <c r="P571" s="291"/>
    </row>
    <row r="572" spans="1:16" ht="31.5" hidden="1">
      <c r="A572" s="286" t="s">
        <v>149</v>
      </c>
      <c r="B572" s="287">
        <v>5510</v>
      </c>
      <c r="C572" s="202"/>
      <c r="D572" s="216"/>
      <c r="E572" s="216"/>
      <c r="F572" s="202"/>
      <c r="G572" s="216"/>
      <c r="H572" s="216"/>
      <c r="I572" s="216"/>
      <c r="J572" s="216"/>
      <c r="K572" s="216"/>
      <c r="L572" s="292"/>
      <c r="M572" s="293"/>
      <c r="N572" s="290"/>
      <c r="O572" s="291">
        <f>84.1</f>
        <v>84.1</v>
      </c>
      <c r="P572" s="291">
        <f>51.2</f>
        <v>51.2</v>
      </c>
    </row>
    <row r="573" spans="1:16" ht="63" hidden="1">
      <c r="A573" s="286" t="s">
        <v>150</v>
      </c>
      <c r="B573" s="287">
        <v>5511</v>
      </c>
      <c r="C573" s="202"/>
      <c r="D573" s="216"/>
      <c r="E573" s="216"/>
      <c r="F573" s="202"/>
      <c r="G573" s="216"/>
      <c r="H573" s="216"/>
      <c r="I573" s="216"/>
      <c r="J573" s="216"/>
      <c r="K573" s="216"/>
      <c r="L573" s="292"/>
      <c r="M573" s="293"/>
      <c r="N573" s="290"/>
      <c r="O573" s="291"/>
      <c r="P573" s="291"/>
    </row>
    <row r="574" spans="1:16" ht="31.5" hidden="1">
      <c r="A574" s="286" t="s">
        <v>151</v>
      </c>
      <c r="B574" s="287">
        <v>5512</v>
      </c>
      <c r="C574" s="202"/>
      <c r="D574" s="216"/>
      <c r="E574" s="216"/>
      <c r="F574" s="202"/>
      <c r="G574" s="216"/>
      <c r="H574" s="216"/>
      <c r="I574" s="216"/>
      <c r="J574" s="216"/>
      <c r="K574" s="216"/>
      <c r="L574" s="292"/>
      <c r="M574" s="293"/>
      <c r="N574" s="290"/>
      <c r="O574" s="291"/>
      <c r="P574" s="291"/>
    </row>
    <row r="575" spans="1:16" ht="94.5" hidden="1">
      <c r="A575" s="286" t="s">
        <v>181</v>
      </c>
      <c r="B575" s="287">
        <v>5513</v>
      </c>
      <c r="C575" s="202"/>
      <c r="D575" s="216"/>
      <c r="E575" s="216"/>
      <c r="F575" s="202"/>
      <c r="G575" s="216"/>
      <c r="H575" s="216"/>
      <c r="I575" s="216"/>
      <c r="J575" s="216"/>
      <c r="K575" s="216"/>
      <c r="L575" s="292"/>
      <c r="M575" s="293"/>
      <c r="N575" s="290"/>
      <c r="O575" s="291"/>
      <c r="P575" s="291"/>
    </row>
    <row r="576" spans="1:16" ht="63" hidden="1">
      <c r="A576" s="286" t="s">
        <v>152</v>
      </c>
      <c r="B576" s="287">
        <v>5514</v>
      </c>
      <c r="C576" s="202"/>
      <c r="D576" s="216"/>
      <c r="E576" s="216"/>
      <c r="F576" s="202"/>
      <c r="G576" s="216"/>
      <c r="H576" s="216"/>
      <c r="I576" s="216"/>
      <c r="J576" s="216"/>
      <c r="K576" s="216"/>
      <c r="L576" s="292"/>
      <c r="M576" s="293"/>
      <c r="N576" s="290"/>
      <c r="O576" s="291"/>
      <c r="P576" s="291"/>
    </row>
    <row r="577" spans="1:16" ht="47.25" hidden="1">
      <c r="A577" s="286" t="s">
        <v>153</v>
      </c>
      <c r="B577" s="287">
        <v>5515</v>
      </c>
      <c r="C577" s="202"/>
      <c r="D577" s="216"/>
      <c r="E577" s="216"/>
      <c r="F577" s="202"/>
      <c r="G577" s="216"/>
      <c r="H577" s="216"/>
      <c r="I577" s="216"/>
      <c r="J577" s="216"/>
      <c r="K577" s="216"/>
      <c r="L577" s="292"/>
      <c r="M577" s="293"/>
      <c r="N577" s="290"/>
      <c r="O577" s="291"/>
      <c r="P577" s="291"/>
    </row>
    <row r="578" spans="1:16" ht="126" hidden="1">
      <c r="A578" s="286" t="s">
        <v>154</v>
      </c>
      <c r="B578" s="287">
        <v>5516</v>
      </c>
      <c r="C578" s="202"/>
      <c r="D578" s="216"/>
      <c r="E578" s="216"/>
      <c r="F578" s="202"/>
      <c r="G578" s="216"/>
      <c r="H578" s="216"/>
      <c r="I578" s="216"/>
      <c r="J578" s="216"/>
      <c r="K578" s="216"/>
      <c r="L578" s="292"/>
      <c r="M578" s="293"/>
      <c r="N578" s="290"/>
      <c r="O578" s="291"/>
      <c r="P578" s="291"/>
    </row>
    <row r="579" spans="1:16" ht="47.25" hidden="1">
      <c r="A579" s="286" t="s">
        <v>155</v>
      </c>
      <c r="B579" s="287">
        <v>5517</v>
      </c>
      <c r="C579" s="202"/>
      <c r="D579" s="216"/>
      <c r="E579" s="216"/>
      <c r="F579" s="202"/>
      <c r="G579" s="216"/>
      <c r="H579" s="216"/>
      <c r="I579" s="216"/>
      <c r="J579" s="216"/>
      <c r="K579" s="216"/>
      <c r="L579" s="292"/>
      <c r="M579" s="293"/>
      <c r="N579" s="290"/>
      <c r="O579" s="291"/>
      <c r="P579" s="291"/>
    </row>
    <row r="580" spans="1:16" ht="78.75" hidden="1">
      <c r="A580" s="286" t="s">
        <v>156</v>
      </c>
      <c r="B580" s="287">
        <v>5518</v>
      </c>
      <c r="C580" s="202"/>
      <c r="D580" s="216"/>
      <c r="E580" s="216"/>
      <c r="F580" s="202"/>
      <c r="G580" s="216"/>
      <c r="H580" s="216"/>
      <c r="I580" s="216"/>
      <c r="J580" s="216"/>
      <c r="K580" s="216"/>
      <c r="L580" s="292"/>
      <c r="M580" s="293"/>
      <c r="N580" s="290"/>
      <c r="O580" s="291"/>
      <c r="P580" s="291"/>
    </row>
    <row r="581" spans="1:16" ht="47.25" hidden="1">
      <c r="A581" s="286" t="s">
        <v>157</v>
      </c>
      <c r="B581" s="287">
        <v>5519</v>
      </c>
      <c r="C581" s="202"/>
      <c r="D581" s="216"/>
      <c r="E581" s="216"/>
      <c r="F581" s="202"/>
      <c r="G581" s="216"/>
      <c r="H581" s="216"/>
      <c r="I581" s="216"/>
      <c r="J581" s="216"/>
      <c r="K581" s="216"/>
      <c r="L581" s="292"/>
      <c r="M581" s="293"/>
      <c r="N581" s="290"/>
      <c r="O581" s="291"/>
      <c r="P581" s="291"/>
    </row>
    <row r="582" spans="1:16" ht="110.25" hidden="1">
      <c r="A582" s="286" t="s">
        <v>158</v>
      </c>
      <c r="B582" s="287">
        <v>5520</v>
      </c>
      <c r="C582" s="202"/>
      <c r="D582" s="216"/>
      <c r="E582" s="216"/>
      <c r="F582" s="202"/>
      <c r="G582" s="216"/>
      <c r="H582" s="216"/>
      <c r="I582" s="216"/>
      <c r="J582" s="216"/>
      <c r="K582" s="216"/>
      <c r="L582" s="292"/>
      <c r="M582" s="293"/>
      <c r="N582" s="290"/>
      <c r="O582" s="291"/>
      <c r="P582" s="291"/>
    </row>
    <row r="583" spans="1:16" ht="220.5" hidden="1">
      <c r="A583" s="286" t="s">
        <v>159</v>
      </c>
      <c r="B583" s="287">
        <v>5521</v>
      </c>
      <c r="C583" s="202"/>
      <c r="D583" s="216"/>
      <c r="E583" s="216"/>
      <c r="F583" s="202"/>
      <c r="G583" s="216"/>
      <c r="H583" s="216"/>
      <c r="I583" s="216"/>
      <c r="J583" s="216"/>
      <c r="K583" s="216"/>
      <c r="L583" s="292"/>
      <c r="M583" s="293"/>
      <c r="N583" s="290"/>
      <c r="O583" s="291"/>
      <c r="P583" s="291"/>
    </row>
    <row r="584" spans="1:16" ht="63" hidden="1">
      <c r="A584" s="286" t="s">
        <v>160</v>
      </c>
      <c r="B584" s="287">
        <v>5522</v>
      </c>
      <c r="C584" s="202"/>
      <c r="D584" s="216"/>
      <c r="E584" s="216"/>
      <c r="F584" s="202"/>
      <c r="G584" s="216"/>
      <c r="H584" s="216"/>
      <c r="I584" s="216"/>
      <c r="J584" s="216"/>
      <c r="K584" s="216"/>
      <c r="L584" s="292"/>
      <c r="M584" s="293"/>
      <c r="N584" s="290"/>
      <c r="O584" s="291"/>
      <c r="P584" s="291"/>
    </row>
    <row r="585" spans="1:16" ht="47.25" hidden="1">
      <c r="A585" s="286" t="s">
        <v>157</v>
      </c>
      <c r="B585" s="287">
        <v>5523</v>
      </c>
      <c r="C585" s="202"/>
      <c r="D585" s="216"/>
      <c r="E585" s="216"/>
      <c r="F585" s="202"/>
      <c r="G585" s="216"/>
      <c r="H585" s="216"/>
      <c r="I585" s="216"/>
      <c r="J585" s="216"/>
      <c r="K585" s="216"/>
      <c r="L585" s="292"/>
      <c r="M585" s="293"/>
      <c r="N585" s="290"/>
      <c r="O585" s="291"/>
      <c r="P585" s="291"/>
    </row>
    <row r="586" spans="1:16" ht="31.5" hidden="1">
      <c r="A586" s="286" t="s">
        <v>161</v>
      </c>
      <c r="B586" s="287">
        <v>5524</v>
      </c>
      <c r="C586" s="202"/>
      <c r="D586" s="216"/>
      <c r="E586" s="216"/>
      <c r="F586" s="202"/>
      <c r="G586" s="216"/>
      <c r="H586" s="216"/>
      <c r="I586" s="216"/>
      <c r="J586" s="216"/>
      <c r="K586" s="216"/>
      <c r="L586" s="292"/>
      <c r="M586" s="293"/>
      <c r="N586" s="290"/>
      <c r="O586" s="291"/>
      <c r="P586" s="291"/>
    </row>
    <row r="587" spans="1:16" ht="78.75" hidden="1">
      <c r="A587" s="286" t="s">
        <v>162</v>
      </c>
      <c r="B587" s="287">
        <v>5525</v>
      </c>
      <c r="C587" s="202"/>
      <c r="D587" s="216"/>
      <c r="E587" s="216"/>
      <c r="F587" s="202"/>
      <c r="G587" s="216"/>
      <c r="H587" s="216"/>
      <c r="I587" s="216"/>
      <c r="J587" s="216"/>
      <c r="K587" s="216"/>
      <c r="L587" s="292"/>
      <c r="M587" s="293"/>
      <c r="N587" s="290"/>
      <c r="O587" s="291"/>
      <c r="P587" s="291"/>
    </row>
    <row r="588" spans="1:16" ht="47.25" hidden="1">
      <c r="A588" s="286" t="s">
        <v>157</v>
      </c>
      <c r="B588" s="287">
        <v>5526</v>
      </c>
      <c r="C588" s="202"/>
      <c r="D588" s="216"/>
      <c r="E588" s="216"/>
      <c r="F588" s="202"/>
      <c r="G588" s="216"/>
      <c r="H588" s="216"/>
      <c r="I588" s="216"/>
      <c r="J588" s="216"/>
      <c r="K588" s="216"/>
      <c r="L588" s="292"/>
      <c r="M588" s="293"/>
      <c r="N588" s="290"/>
      <c r="O588" s="291"/>
      <c r="P588" s="291"/>
    </row>
    <row r="589" spans="1:16" ht="94.5" hidden="1">
      <c r="A589" s="286" t="s">
        <v>163</v>
      </c>
      <c r="B589" s="287">
        <v>5527</v>
      </c>
      <c r="C589" s="202"/>
      <c r="D589" s="216"/>
      <c r="E589" s="216"/>
      <c r="F589" s="202"/>
      <c r="G589" s="216"/>
      <c r="H589" s="216"/>
      <c r="I589" s="216"/>
      <c r="J589" s="216"/>
      <c r="K589" s="216"/>
      <c r="L589" s="292"/>
      <c r="M589" s="293"/>
      <c r="N589" s="290"/>
      <c r="O589" s="291"/>
      <c r="P589" s="291"/>
    </row>
    <row r="590" spans="1:16" ht="126" hidden="1">
      <c r="A590" s="286" t="s">
        <v>164</v>
      </c>
      <c r="B590" s="287">
        <v>5528</v>
      </c>
      <c r="C590" s="202"/>
      <c r="D590" s="216"/>
      <c r="E590" s="216"/>
      <c r="F590" s="202"/>
      <c r="G590" s="216"/>
      <c r="H590" s="216"/>
      <c r="I590" s="216"/>
      <c r="J590" s="216"/>
      <c r="K590" s="216"/>
      <c r="L590" s="292"/>
      <c r="M590" s="293"/>
      <c r="N590" s="290"/>
      <c r="O590" s="291"/>
      <c r="P590" s="291"/>
    </row>
    <row r="591" spans="1:16" ht="126" hidden="1">
      <c r="A591" s="286" t="s">
        <v>165</v>
      </c>
      <c r="B591" s="287">
        <v>5529</v>
      </c>
      <c r="C591" s="202"/>
      <c r="D591" s="216"/>
      <c r="E591" s="216"/>
      <c r="F591" s="202"/>
      <c r="G591" s="216"/>
      <c r="H591" s="216"/>
      <c r="I591" s="216"/>
      <c r="J591" s="216"/>
      <c r="K591" s="216"/>
      <c r="L591" s="292"/>
      <c r="M591" s="293"/>
      <c r="N591" s="290"/>
      <c r="O591" s="291">
        <f>2372.2</f>
        <v>2372.2</v>
      </c>
      <c r="P591" s="291">
        <f>2658.1</f>
        <v>2658.1</v>
      </c>
    </row>
    <row r="592" spans="1:16" ht="78.75" hidden="1">
      <c r="A592" s="286" t="s">
        <v>166</v>
      </c>
      <c r="B592" s="287">
        <v>5530</v>
      </c>
      <c r="C592" s="202"/>
      <c r="D592" s="216"/>
      <c r="E592" s="216"/>
      <c r="F592" s="202"/>
      <c r="G592" s="216"/>
      <c r="H592" s="216"/>
      <c r="I592" s="216"/>
      <c r="J592" s="216"/>
      <c r="K592" s="216"/>
      <c r="L592" s="292"/>
      <c r="M592" s="293"/>
      <c r="N592" s="290"/>
      <c r="O592" s="291"/>
      <c r="P592" s="291"/>
    </row>
    <row r="593" spans="1:16" ht="126" hidden="1">
      <c r="A593" s="286" t="s">
        <v>167</v>
      </c>
      <c r="B593" s="287">
        <v>5531</v>
      </c>
      <c r="C593" s="202"/>
      <c r="D593" s="216"/>
      <c r="E593" s="216"/>
      <c r="F593" s="202"/>
      <c r="G593" s="216"/>
      <c r="H593" s="216"/>
      <c r="I593" s="216"/>
      <c r="J593" s="216"/>
      <c r="K593" s="216"/>
      <c r="L593" s="292"/>
      <c r="M593" s="293"/>
      <c r="N593" s="290"/>
      <c r="O593" s="291"/>
      <c r="P593" s="291"/>
    </row>
    <row r="594" spans="1:16" ht="94.5" hidden="1">
      <c r="A594" s="286" t="s">
        <v>168</v>
      </c>
      <c r="B594" s="287">
        <v>5532</v>
      </c>
      <c r="C594" s="202"/>
      <c r="D594" s="216"/>
      <c r="E594" s="216"/>
      <c r="F594" s="202"/>
      <c r="G594" s="216"/>
      <c r="H594" s="216"/>
      <c r="I594" s="216"/>
      <c r="J594" s="216"/>
      <c r="K594" s="216"/>
      <c r="L594" s="292"/>
      <c r="M594" s="293"/>
      <c r="N594" s="290"/>
      <c r="O594" s="291"/>
      <c r="P594" s="291"/>
    </row>
    <row r="595" spans="1:16" ht="47.25" hidden="1">
      <c r="A595" s="286" t="s">
        <v>169</v>
      </c>
      <c r="B595" s="287">
        <v>5533</v>
      </c>
      <c r="C595" s="202"/>
      <c r="D595" s="216"/>
      <c r="E595" s="216"/>
      <c r="F595" s="202"/>
      <c r="G595" s="216"/>
      <c r="H595" s="216"/>
      <c r="I595" s="216"/>
      <c r="J595" s="216"/>
      <c r="K595" s="216"/>
      <c r="L595" s="292"/>
      <c r="M595" s="293"/>
      <c r="N595" s="290"/>
      <c r="O595" s="291"/>
      <c r="P595" s="291"/>
    </row>
    <row r="596" spans="1:16" ht="31.5" hidden="1">
      <c r="A596" s="286" t="s">
        <v>170</v>
      </c>
      <c r="B596" s="287">
        <v>5534</v>
      </c>
      <c r="C596" s="202"/>
      <c r="D596" s="216"/>
      <c r="E596" s="216"/>
      <c r="F596" s="202"/>
      <c r="G596" s="216"/>
      <c r="H596" s="216"/>
      <c r="I596" s="216"/>
      <c r="J596" s="216"/>
      <c r="K596" s="216"/>
      <c r="L596" s="292"/>
      <c r="M596" s="293"/>
      <c r="N596" s="290"/>
      <c r="O596" s="291"/>
      <c r="P596" s="291"/>
    </row>
    <row r="597" spans="1:16" ht="94.5" hidden="1">
      <c r="A597" s="286" t="s">
        <v>171</v>
      </c>
      <c r="B597" s="287">
        <v>5535</v>
      </c>
      <c r="C597" s="202"/>
      <c r="D597" s="216"/>
      <c r="E597" s="216"/>
      <c r="F597" s="202"/>
      <c r="G597" s="216"/>
      <c r="H597" s="216"/>
      <c r="I597" s="216"/>
      <c r="J597" s="216"/>
      <c r="K597" s="216"/>
      <c r="L597" s="292"/>
      <c r="M597" s="293"/>
      <c r="N597" s="290"/>
      <c r="O597" s="291"/>
      <c r="P597" s="291"/>
    </row>
    <row r="598" spans="1:16" ht="47.25" hidden="1">
      <c r="A598" s="286" t="s">
        <v>172</v>
      </c>
      <c r="B598" s="287">
        <v>5536</v>
      </c>
      <c r="C598" s="202"/>
      <c r="D598" s="216"/>
      <c r="E598" s="216"/>
      <c r="F598" s="202"/>
      <c r="G598" s="216"/>
      <c r="H598" s="216"/>
      <c r="I598" s="216"/>
      <c r="J598" s="216"/>
      <c r="K598" s="216"/>
      <c r="L598" s="292"/>
      <c r="M598" s="293"/>
      <c r="N598" s="290"/>
      <c r="O598" s="291"/>
      <c r="P598" s="291"/>
    </row>
    <row r="599" spans="1:16" ht="15.75" hidden="1">
      <c r="A599" s="286" t="s">
        <v>13</v>
      </c>
      <c r="B599" s="287">
        <v>5537</v>
      </c>
      <c r="C599" s="202"/>
      <c r="D599" s="216"/>
      <c r="E599" s="216"/>
      <c r="F599" s="202"/>
      <c r="G599" s="216"/>
      <c r="H599" s="216"/>
      <c r="I599" s="216"/>
      <c r="J599" s="216"/>
      <c r="K599" s="216"/>
      <c r="L599" s="292"/>
      <c r="M599" s="293"/>
      <c r="N599" s="290"/>
      <c r="O599" s="291"/>
      <c r="P599" s="291"/>
    </row>
    <row r="600" spans="1:16" ht="15.75" hidden="1">
      <c r="A600" s="286" t="s">
        <v>13</v>
      </c>
      <c r="B600" s="287">
        <v>5538</v>
      </c>
      <c r="C600" s="202"/>
      <c r="D600" s="216"/>
      <c r="E600" s="216"/>
      <c r="F600" s="202"/>
      <c r="G600" s="216"/>
      <c r="H600" s="216"/>
      <c r="I600" s="216"/>
      <c r="J600" s="216"/>
      <c r="K600" s="216"/>
      <c r="L600" s="292"/>
      <c r="M600" s="293"/>
      <c r="N600" s="290"/>
      <c r="O600" s="291"/>
      <c r="P600" s="291"/>
    </row>
    <row r="601" spans="1:16" ht="63" hidden="1">
      <c r="A601" s="294" t="s">
        <v>292</v>
      </c>
      <c r="B601" s="295">
        <v>5600</v>
      </c>
      <c r="C601" s="210" t="s">
        <v>12</v>
      </c>
      <c r="D601" s="211" t="s">
        <v>12</v>
      </c>
      <c r="E601" s="211" t="s">
        <v>12</v>
      </c>
      <c r="F601" s="210" t="s">
        <v>12</v>
      </c>
      <c r="G601" s="211" t="s">
        <v>12</v>
      </c>
      <c r="H601" s="211" t="s">
        <v>12</v>
      </c>
      <c r="I601" s="211"/>
      <c r="J601" s="211"/>
      <c r="K601" s="211"/>
      <c r="L601" s="296" t="s">
        <v>12</v>
      </c>
      <c r="M601" s="297" t="s">
        <v>12</v>
      </c>
      <c r="N601" s="298"/>
      <c r="O601" s="299">
        <f>SUM(O602:O603)</f>
        <v>0</v>
      </c>
      <c r="P601" s="299">
        <f>SUM(P602:P603)</f>
        <v>0</v>
      </c>
    </row>
    <row r="602" spans="1:16" ht="15.75" hidden="1">
      <c r="A602" s="286" t="s">
        <v>13</v>
      </c>
      <c r="B602" s="287">
        <v>5601</v>
      </c>
      <c r="C602" s="202"/>
      <c r="D602" s="216"/>
      <c r="E602" s="216"/>
      <c r="F602" s="202"/>
      <c r="G602" s="216"/>
      <c r="H602" s="216"/>
      <c r="I602" s="216"/>
      <c r="J602" s="216"/>
      <c r="K602" s="216"/>
      <c r="L602" s="292"/>
      <c r="M602" s="293"/>
      <c r="N602" s="290"/>
      <c r="O602" s="291"/>
      <c r="P602" s="291"/>
    </row>
    <row r="603" spans="1:16" ht="15.75" hidden="1">
      <c r="A603" s="286" t="s">
        <v>13</v>
      </c>
      <c r="B603" s="287">
        <v>5602</v>
      </c>
      <c r="C603" s="202"/>
      <c r="D603" s="216"/>
      <c r="E603" s="216"/>
      <c r="F603" s="202"/>
      <c r="G603" s="216"/>
      <c r="H603" s="216"/>
      <c r="I603" s="216"/>
      <c r="J603" s="216"/>
      <c r="K603" s="216"/>
      <c r="L603" s="292"/>
      <c r="M603" s="293"/>
      <c r="N603" s="290"/>
      <c r="O603" s="291"/>
      <c r="P603" s="291"/>
    </row>
    <row r="604" spans="1:16" ht="141.75" hidden="1">
      <c r="A604" s="294" t="s">
        <v>37</v>
      </c>
      <c r="B604" s="295">
        <v>5700</v>
      </c>
      <c r="C604" s="210" t="s">
        <v>12</v>
      </c>
      <c r="D604" s="211" t="s">
        <v>12</v>
      </c>
      <c r="E604" s="211" t="s">
        <v>12</v>
      </c>
      <c r="F604" s="210" t="s">
        <v>12</v>
      </c>
      <c r="G604" s="211" t="s">
        <v>12</v>
      </c>
      <c r="H604" s="211" t="s">
        <v>12</v>
      </c>
      <c r="I604" s="211"/>
      <c r="J604" s="211"/>
      <c r="K604" s="211"/>
      <c r="L604" s="296" t="s">
        <v>12</v>
      </c>
      <c r="M604" s="297" t="s">
        <v>12</v>
      </c>
      <c r="N604" s="298"/>
      <c r="O604" s="299">
        <f>O605+O610</f>
        <v>93988.79999999999</v>
      </c>
      <c r="P604" s="299">
        <f>P605+P610</f>
        <v>49004.700000000004</v>
      </c>
    </row>
    <row r="605" spans="1:16" ht="15.75" hidden="1">
      <c r="A605" s="294" t="s">
        <v>38</v>
      </c>
      <c r="B605" s="295">
        <v>5701</v>
      </c>
      <c r="C605" s="210" t="s">
        <v>12</v>
      </c>
      <c r="D605" s="211" t="s">
        <v>12</v>
      </c>
      <c r="E605" s="211" t="s">
        <v>12</v>
      </c>
      <c r="F605" s="210" t="s">
        <v>12</v>
      </c>
      <c r="G605" s="211" t="s">
        <v>12</v>
      </c>
      <c r="H605" s="211" t="s">
        <v>12</v>
      </c>
      <c r="I605" s="211"/>
      <c r="J605" s="211"/>
      <c r="K605" s="211"/>
      <c r="L605" s="296" t="s">
        <v>12</v>
      </c>
      <c r="M605" s="297" t="s">
        <v>12</v>
      </c>
      <c r="N605" s="298"/>
      <c r="O605" s="299">
        <f>O606+O607</f>
        <v>0</v>
      </c>
      <c r="P605" s="299">
        <f>P606+P607</f>
        <v>0</v>
      </c>
    </row>
    <row r="606" spans="1:16" ht="31.5" hidden="1">
      <c r="A606" s="294" t="s">
        <v>39</v>
      </c>
      <c r="B606" s="287">
        <v>5702</v>
      </c>
      <c r="C606" s="202"/>
      <c r="D606" s="216"/>
      <c r="E606" s="216"/>
      <c r="F606" s="202"/>
      <c r="G606" s="216"/>
      <c r="H606" s="216"/>
      <c r="I606" s="216"/>
      <c r="J606" s="216"/>
      <c r="K606" s="216"/>
      <c r="L606" s="292"/>
      <c r="M606" s="293"/>
      <c r="N606" s="290"/>
      <c r="O606" s="291"/>
      <c r="P606" s="291"/>
    </row>
    <row r="607" spans="1:16" ht="63" hidden="1">
      <c r="A607" s="294" t="s">
        <v>293</v>
      </c>
      <c r="B607" s="295">
        <v>5703</v>
      </c>
      <c r="C607" s="210" t="s">
        <v>12</v>
      </c>
      <c r="D607" s="211" t="s">
        <v>12</v>
      </c>
      <c r="E607" s="211" t="s">
        <v>12</v>
      </c>
      <c r="F607" s="210" t="s">
        <v>12</v>
      </c>
      <c r="G607" s="211" t="s">
        <v>12</v>
      </c>
      <c r="H607" s="211" t="s">
        <v>12</v>
      </c>
      <c r="I607" s="211"/>
      <c r="J607" s="211"/>
      <c r="K607" s="211"/>
      <c r="L607" s="296" t="s">
        <v>12</v>
      </c>
      <c r="M607" s="297" t="s">
        <v>12</v>
      </c>
      <c r="N607" s="298"/>
      <c r="O607" s="299">
        <f>SUM(O608:O609)</f>
        <v>0</v>
      </c>
      <c r="P607" s="299">
        <f>SUM(P608:P609)</f>
        <v>0</v>
      </c>
    </row>
    <row r="608" spans="1:16" ht="15.75" hidden="1">
      <c r="A608" s="286" t="s">
        <v>13</v>
      </c>
      <c r="B608" s="287">
        <v>5704</v>
      </c>
      <c r="C608" s="202"/>
      <c r="D608" s="216"/>
      <c r="E608" s="216"/>
      <c r="F608" s="202"/>
      <c r="G608" s="216"/>
      <c r="H608" s="216"/>
      <c r="I608" s="216"/>
      <c r="J608" s="216"/>
      <c r="K608" s="216"/>
      <c r="L608" s="292"/>
      <c r="M608" s="293"/>
      <c r="N608" s="290"/>
      <c r="O608" s="291"/>
      <c r="P608" s="291"/>
    </row>
    <row r="609" spans="1:16" ht="15.75" hidden="1">
      <c r="A609" s="286" t="s">
        <v>13</v>
      </c>
      <c r="B609" s="287">
        <v>5705</v>
      </c>
      <c r="C609" s="202"/>
      <c r="D609" s="216"/>
      <c r="E609" s="216"/>
      <c r="F609" s="202"/>
      <c r="G609" s="216"/>
      <c r="H609" s="216"/>
      <c r="I609" s="216"/>
      <c r="J609" s="216"/>
      <c r="K609" s="216"/>
      <c r="L609" s="292"/>
      <c r="M609" s="293"/>
      <c r="N609" s="290"/>
      <c r="O609" s="291"/>
      <c r="P609" s="291"/>
    </row>
    <row r="610" spans="1:16" ht="31.5" hidden="1">
      <c r="A610" s="294" t="s">
        <v>40</v>
      </c>
      <c r="B610" s="295">
        <v>5800</v>
      </c>
      <c r="C610" s="210" t="s">
        <v>12</v>
      </c>
      <c r="D610" s="211" t="s">
        <v>12</v>
      </c>
      <c r="E610" s="211" t="s">
        <v>12</v>
      </c>
      <c r="F610" s="210" t="s">
        <v>12</v>
      </c>
      <c r="G610" s="211" t="s">
        <v>12</v>
      </c>
      <c r="H610" s="211" t="s">
        <v>12</v>
      </c>
      <c r="I610" s="211"/>
      <c r="J610" s="211"/>
      <c r="K610" s="211"/>
      <c r="L610" s="296" t="s">
        <v>12</v>
      </c>
      <c r="M610" s="297" t="s">
        <v>12</v>
      </c>
      <c r="N610" s="298"/>
      <c r="O610" s="299">
        <f>O611+O621</f>
        <v>93988.79999999999</v>
      </c>
      <c r="P610" s="299">
        <f>P611+P621</f>
        <v>49004.700000000004</v>
      </c>
    </row>
    <row r="611" spans="1:16" ht="126" hidden="1">
      <c r="A611" s="294" t="s">
        <v>294</v>
      </c>
      <c r="B611" s="295">
        <v>5801</v>
      </c>
      <c r="C611" s="210" t="s">
        <v>12</v>
      </c>
      <c r="D611" s="211" t="s">
        <v>12</v>
      </c>
      <c r="E611" s="211" t="s">
        <v>12</v>
      </c>
      <c r="F611" s="210" t="s">
        <v>12</v>
      </c>
      <c r="G611" s="211" t="s">
        <v>12</v>
      </c>
      <c r="H611" s="211" t="s">
        <v>12</v>
      </c>
      <c r="I611" s="211"/>
      <c r="J611" s="211"/>
      <c r="K611" s="211"/>
      <c r="L611" s="296" t="s">
        <v>12</v>
      </c>
      <c r="M611" s="297" t="s">
        <v>12</v>
      </c>
      <c r="N611" s="298"/>
      <c r="O611" s="299">
        <f>SUM(O612:O620)</f>
        <v>93988.79999999999</v>
      </c>
      <c r="P611" s="299">
        <f>SUM(P612:P620)</f>
        <v>49004.700000000004</v>
      </c>
    </row>
    <row r="612" spans="1:16" ht="110.25" hidden="1">
      <c r="A612" s="286" t="s">
        <v>257</v>
      </c>
      <c r="B612" s="287">
        <v>5802</v>
      </c>
      <c r="C612" s="162" t="s">
        <v>635</v>
      </c>
      <c r="D612" s="150" t="s">
        <v>690</v>
      </c>
      <c r="E612" s="150" t="s">
        <v>686</v>
      </c>
      <c r="F612" s="202"/>
      <c r="G612" s="216"/>
      <c r="H612" s="216"/>
      <c r="I612" s="216"/>
      <c r="J612" s="216"/>
      <c r="K612" s="216"/>
      <c r="L612" s="292" t="s">
        <v>303</v>
      </c>
      <c r="M612" s="293" t="s">
        <v>300</v>
      </c>
      <c r="N612" s="304"/>
      <c r="O612" s="291">
        <f>2557.4+4721.5</f>
        <v>7278.9</v>
      </c>
      <c r="P612" s="291">
        <f>2867.2+4706.4</f>
        <v>7573.599999999999</v>
      </c>
    </row>
    <row r="613" spans="1:16" ht="141.75" hidden="1">
      <c r="A613" s="286" t="s">
        <v>259</v>
      </c>
      <c r="B613" s="287">
        <v>5803</v>
      </c>
      <c r="C613" s="162" t="s">
        <v>691</v>
      </c>
      <c r="D613" s="150" t="s">
        <v>692</v>
      </c>
      <c r="E613" s="150" t="s">
        <v>666</v>
      </c>
      <c r="F613" s="202"/>
      <c r="G613" s="216"/>
      <c r="H613" s="216"/>
      <c r="I613" s="216"/>
      <c r="J613" s="216"/>
      <c r="K613" s="216"/>
      <c r="L613" s="292" t="s">
        <v>303</v>
      </c>
      <c r="M613" s="293" t="s">
        <v>300</v>
      </c>
      <c r="N613" s="304"/>
      <c r="O613" s="291">
        <f>338.5+1161.4+60-60</f>
        <v>1499.9</v>
      </c>
      <c r="P613" s="291">
        <f>492+1152.5</f>
        <v>1644.5</v>
      </c>
    </row>
    <row r="614" spans="1:16" ht="94.5" hidden="1">
      <c r="A614" s="286" t="s">
        <v>81</v>
      </c>
      <c r="B614" s="287">
        <v>5804</v>
      </c>
      <c r="C614" s="162" t="s">
        <v>635</v>
      </c>
      <c r="D614" s="150" t="s">
        <v>690</v>
      </c>
      <c r="E614" s="150" t="s">
        <v>686</v>
      </c>
      <c r="F614" s="202"/>
      <c r="G614" s="216"/>
      <c r="H614" s="216"/>
      <c r="I614" s="216"/>
      <c r="J614" s="216"/>
      <c r="K614" s="216"/>
      <c r="L614" s="292" t="s">
        <v>727</v>
      </c>
      <c r="M614" s="293" t="s">
        <v>728</v>
      </c>
      <c r="N614" s="304"/>
      <c r="O614" s="291">
        <f>401+465+2504.4+305.4+177.3+58452.3-1006.8+60+465+88.4-80.3-177.3</f>
        <v>61654.399999999994</v>
      </c>
      <c r="P614" s="291">
        <f>442.7+485.3+7796.1</f>
        <v>8724.1</v>
      </c>
    </row>
    <row r="615" spans="1:16" ht="189" hidden="1">
      <c r="A615" s="286" t="s">
        <v>271</v>
      </c>
      <c r="B615" s="287">
        <v>5805</v>
      </c>
      <c r="C615" s="162" t="s">
        <v>722</v>
      </c>
      <c r="D615" s="150" t="s">
        <v>724</v>
      </c>
      <c r="E615" s="150" t="s">
        <v>723</v>
      </c>
      <c r="F615" s="202" t="s">
        <v>696</v>
      </c>
      <c r="G615" s="216" t="s">
        <v>605</v>
      </c>
      <c r="H615" s="150" t="s">
        <v>697</v>
      </c>
      <c r="I615" s="150"/>
      <c r="J615" s="150"/>
      <c r="K615" s="150"/>
      <c r="L615" s="292" t="s">
        <v>725</v>
      </c>
      <c r="M615" s="293" t="s">
        <v>726</v>
      </c>
      <c r="N615" s="304"/>
      <c r="O615" s="291">
        <f>465+8190.7+1706.6+80+144+201.9+100.6-465-80-144+64+128+32</f>
        <v>10423.800000000001</v>
      </c>
      <c r="P615" s="291">
        <f>6518+764+192+192</f>
        <v>7666</v>
      </c>
    </row>
    <row r="616" spans="1:16" ht="126" hidden="1">
      <c r="A616" s="286" t="s">
        <v>276</v>
      </c>
      <c r="B616" s="287">
        <v>5806</v>
      </c>
      <c r="C616" s="162" t="s">
        <v>693</v>
      </c>
      <c r="D616" s="150" t="s">
        <v>694</v>
      </c>
      <c r="E616" s="150" t="s">
        <v>695</v>
      </c>
      <c r="F616" s="202"/>
      <c r="G616" s="216"/>
      <c r="H616" s="216"/>
      <c r="I616" s="216"/>
      <c r="J616" s="216"/>
      <c r="K616" s="216"/>
      <c r="L616" s="292" t="s">
        <v>303</v>
      </c>
      <c r="M616" s="293" t="s">
        <v>300</v>
      </c>
      <c r="N616" s="304"/>
      <c r="O616" s="291">
        <f>738.4</f>
        <v>738.4</v>
      </c>
      <c r="P616" s="291">
        <f>738.4</f>
        <v>738.4</v>
      </c>
    </row>
    <row r="617" spans="1:16" ht="63" hidden="1">
      <c r="A617" s="286" t="s">
        <v>262</v>
      </c>
      <c r="B617" s="287">
        <v>5807</v>
      </c>
      <c r="C617" s="162" t="s">
        <v>729</v>
      </c>
      <c r="D617" s="150" t="s">
        <v>730</v>
      </c>
      <c r="E617" s="150" t="s">
        <v>411</v>
      </c>
      <c r="F617" s="202"/>
      <c r="G617" s="216"/>
      <c r="H617" s="216"/>
      <c r="I617" s="216"/>
      <c r="J617" s="216"/>
      <c r="K617" s="216"/>
      <c r="L617" s="292" t="s">
        <v>299</v>
      </c>
      <c r="M617" s="293" t="s">
        <v>303</v>
      </c>
      <c r="N617" s="304"/>
      <c r="O617" s="291">
        <f>4709.5+80.3</f>
        <v>4789.8</v>
      </c>
      <c r="P617" s="291">
        <f>8546.2</f>
        <v>8546.2</v>
      </c>
    </row>
    <row r="618" spans="1:16" ht="252" hidden="1">
      <c r="A618" s="286" t="s">
        <v>270</v>
      </c>
      <c r="B618" s="287">
        <v>5808</v>
      </c>
      <c r="C618" s="162" t="s">
        <v>729</v>
      </c>
      <c r="D618" s="150" t="s">
        <v>730</v>
      </c>
      <c r="E618" s="150" t="s">
        <v>411</v>
      </c>
      <c r="F618" s="202"/>
      <c r="G618" s="216"/>
      <c r="H618" s="216"/>
      <c r="I618" s="216"/>
      <c r="J618" s="216"/>
      <c r="K618" s="216"/>
      <c r="L618" s="292" t="s">
        <v>300</v>
      </c>
      <c r="M618" s="293" t="s">
        <v>311</v>
      </c>
      <c r="N618" s="304"/>
      <c r="O618" s="291">
        <f>74.2+215+2147.4+1100-74.2</f>
        <v>3462.4</v>
      </c>
      <c r="P618" s="291">
        <f>13157.9</f>
        <v>13157.9</v>
      </c>
    </row>
    <row r="619" spans="1:16" ht="94.5" hidden="1">
      <c r="A619" s="286" t="s">
        <v>238</v>
      </c>
      <c r="B619" s="287">
        <v>5809</v>
      </c>
      <c r="C619" s="162" t="s">
        <v>635</v>
      </c>
      <c r="D619" s="150" t="s">
        <v>690</v>
      </c>
      <c r="E619" s="150" t="s">
        <v>686</v>
      </c>
      <c r="F619" s="202"/>
      <c r="G619" s="216"/>
      <c r="H619" s="216"/>
      <c r="I619" s="216"/>
      <c r="J619" s="216"/>
      <c r="K619" s="216"/>
      <c r="L619" s="292" t="s">
        <v>710</v>
      </c>
      <c r="M619" s="293" t="s">
        <v>711</v>
      </c>
      <c r="N619" s="304"/>
      <c r="O619" s="291">
        <f>2971.3+80.6+926.2-2971.3-926.2+2714.9+212.5+929.2+26.7</f>
        <v>3963.8999999999996</v>
      </c>
      <c r="P619" s="291">
        <f>954</f>
        <v>954</v>
      </c>
    </row>
    <row r="620" spans="1:16" ht="393.75" hidden="1">
      <c r="A620" s="286" t="s">
        <v>332</v>
      </c>
      <c r="B620" s="287">
        <v>5810</v>
      </c>
      <c r="C620" s="150" t="s">
        <v>399</v>
      </c>
      <c r="D620" s="150" t="s">
        <v>425</v>
      </c>
      <c r="E620" s="150" t="s">
        <v>358</v>
      </c>
      <c r="F620" s="150"/>
      <c r="G620" s="150"/>
      <c r="H620" s="150"/>
      <c r="I620" s="150"/>
      <c r="J620" s="150"/>
      <c r="K620" s="150"/>
      <c r="L620" s="292" t="s">
        <v>344</v>
      </c>
      <c r="M620" s="293" t="s">
        <v>345</v>
      </c>
      <c r="N620" s="304"/>
      <c r="O620" s="291">
        <f>174.4+2.9</f>
        <v>177.3</v>
      </c>
      <c r="P620" s="291">
        <v>0</v>
      </c>
    </row>
    <row r="621" spans="1:16" ht="63" hidden="1">
      <c r="A621" s="294" t="s">
        <v>295</v>
      </c>
      <c r="B621" s="295">
        <v>5900</v>
      </c>
      <c r="C621" s="210" t="s">
        <v>12</v>
      </c>
      <c r="D621" s="211" t="s">
        <v>12</v>
      </c>
      <c r="E621" s="211" t="s">
        <v>12</v>
      </c>
      <c r="F621" s="210" t="s">
        <v>12</v>
      </c>
      <c r="G621" s="211" t="s">
        <v>12</v>
      </c>
      <c r="H621" s="211" t="s">
        <v>12</v>
      </c>
      <c r="I621" s="211"/>
      <c r="J621" s="211"/>
      <c r="K621" s="211"/>
      <c r="L621" s="296" t="s">
        <v>12</v>
      </c>
      <c r="M621" s="297" t="s">
        <v>12</v>
      </c>
      <c r="N621" s="298"/>
      <c r="O621" s="299">
        <f>SUM(O622:O623)</f>
        <v>0</v>
      </c>
      <c r="P621" s="299">
        <f>SUM(P622:P623)</f>
        <v>0</v>
      </c>
    </row>
    <row r="622" spans="1:16" ht="15.75" hidden="1">
      <c r="A622" s="286" t="s">
        <v>13</v>
      </c>
      <c r="B622" s="287">
        <v>5901</v>
      </c>
      <c r="C622" s="202"/>
      <c r="D622" s="216"/>
      <c r="E622" s="216"/>
      <c r="F622" s="202"/>
      <c r="G622" s="216"/>
      <c r="H622" s="216"/>
      <c r="I622" s="216"/>
      <c r="J622" s="216"/>
      <c r="K622" s="216"/>
      <c r="L622" s="292"/>
      <c r="M622" s="293"/>
      <c r="N622" s="290"/>
      <c r="O622" s="291"/>
      <c r="P622" s="291"/>
    </row>
    <row r="623" spans="1:16" ht="15.75" hidden="1">
      <c r="A623" s="286" t="s">
        <v>13</v>
      </c>
      <c r="B623" s="287">
        <v>5902</v>
      </c>
      <c r="C623" s="202"/>
      <c r="D623" s="216"/>
      <c r="E623" s="216"/>
      <c r="F623" s="202"/>
      <c r="G623" s="216"/>
      <c r="H623" s="216"/>
      <c r="I623" s="216"/>
      <c r="J623" s="216"/>
      <c r="K623" s="216"/>
      <c r="L623" s="292"/>
      <c r="M623" s="293"/>
      <c r="N623" s="290"/>
      <c r="O623" s="291"/>
      <c r="P623" s="291"/>
    </row>
    <row r="624" spans="1:16" ht="31.5" hidden="1">
      <c r="A624" s="286" t="s">
        <v>0</v>
      </c>
      <c r="B624" s="295">
        <v>8000</v>
      </c>
      <c r="C624" s="210" t="s">
        <v>12</v>
      </c>
      <c r="D624" s="211" t="s">
        <v>12</v>
      </c>
      <c r="E624" s="211" t="s">
        <v>12</v>
      </c>
      <c r="F624" s="210" t="s">
        <v>12</v>
      </c>
      <c r="G624" s="211" t="s">
        <v>12</v>
      </c>
      <c r="H624" s="211" t="s">
        <v>12</v>
      </c>
      <c r="I624" s="211"/>
      <c r="J624" s="211"/>
      <c r="K624" s="211"/>
      <c r="L624" s="296" t="s">
        <v>12</v>
      </c>
      <c r="M624" s="297" t="s">
        <v>12</v>
      </c>
      <c r="N624" s="298"/>
      <c r="O624" s="299">
        <f>O7+O208+O341+O479</f>
        <v>3491286.9</v>
      </c>
      <c r="P624" s="299">
        <f>P7+P208+P341+P479</f>
        <v>2857364.0000000005</v>
      </c>
    </row>
    <row r="626" ht="15.75" hidden="1">
      <c r="A626" s="265" t="s">
        <v>720</v>
      </c>
    </row>
    <row r="627" ht="15.75" hidden="1">
      <c r="A627" s="265" t="s">
        <v>721</v>
      </c>
    </row>
    <row r="628" ht="15.75">
      <c r="A628" s="265" t="s">
        <v>925</v>
      </c>
    </row>
    <row r="629" spans="1:6" ht="15.75">
      <c r="A629" s="265" t="s">
        <v>926</v>
      </c>
      <c r="F629" s="132" t="s">
        <v>927</v>
      </c>
    </row>
    <row r="631" spans="1:6" ht="15.75">
      <c r="A631" s="265" t="s">
        <v>1044</v>
      </c>
      <c r="F631" s="132" t="s">
        <v>1045</v>
      </c>
    </row>
  </sheetData>
  <sheetProtection/>
  <autoFilter ref="B1:B627"/>
  <mergeCells count="11">
    <mergeCell ref="N3:S3"/>
    <mergeCell ref="N4:O4"/>
    <mergeCell ref="R4:S4"/>
    <mergeCell ref="I4:K4"/>
    <mergeCell ref="A1:P1"/>
    <mergeCell ref="A3:A5"/>
    <mergeCell ref="B3:B5"/>
    <mergeCell ref="C3:H3"/>
    <mergeCell ref="L3:M4"/>
    <mergeCell ref="C4:E4"/>
    <mergeCell ref="F4:H4"/>
  </mergeCells>
  <printOptions/>
  <pageMargins left="0.31496062992125984" right="0.31496062992125984" top="0.1968503937007874" bottom="0.1968503937007874" header="0.1968503937007874" footer="0"/>
  <pageSetup fitToHeight="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dimension ref="A1:S571"/>
  <sheetViews>
    <sheetView zoomScale="75" zoomScaleNormal="75" zoomScalePageLayoutView="0" workbookViewId="0" topLeftCell="A139">
      <selection activeCell="F581" sqref="F581"/>
    </sheetView>
  </sheetViews>
  <sheetFormatPr defaultColWidth="9.00390625" defaultRowHeight="12.75"/>
  <cols>
    <col min="1" max="1" width="34.875" style="38" customWidth="1"/>
    <col min="2" max="2" width="5.625" style="28" customWidth="1"/>
    <col min="3" max="3" width="29.75390625" style="28" customWidth="1"/>
    <col min="4" max="4" width="9.25390625" style="28" customWidth="1"/>
    <col min="5" max="5" width="9.875" style="28" customWidth="1"/>
    <col min="6" max="6" width="31.125" style="28" customWidth="1"/>
    <col min="7" max="7" width="9.125" style="28" customWidth="1"/>
    <col min="8" max="8" width="9.00390625" style="28" customWidth="1"/>
    <col min="9" max="9" width="26.25390625" style="28" customWidth="1"/>
    <col min="10" max="10" width="10.375" style="28" customWidth="1"/>
    <col min="11" max="11" width="10.00390625" style="28" customWidth="1"/>
    <col min="12" max="12" width="4.25390625" style="126" customWidth="1"/>
    <col min="13" max="13" width="3.875" style="126" customWidth="1"/>
    <col min="14" max="14" width="9.125" style="41" customWidth="1"/>
    <col min="15" max="15" width="8.75390625" style="41" customWidth="1"/>
    <col min="16" max="16" width="9.00390625" style="41" customWidth="1"/>
    <col min="17" max="17" width="8.00390625" style="41" customWidth="1"/>
    <col min="18" max="18" width="8.125" style="41" customWidth="1"/>
    <col min="19" max="19" width="9.375" style="41" customWidth="1"/>
    <col min="20" max="16384" width="9.125" style="28" customWidth="1"/>
  </cols>
  <sheetData>
    <row r="1" spans="1:16" ht="12">
      <c r="A1" s="330" t="s">
        <v>924</v>
      </c>
      <c r="B1" s="330"/>
      <c r="C1" s="330"/>
      <c r="D1" s="330"/>
      <c r="E1" s="330"/>
      <c r="F1" s="330"/>
      <c r="G1" s="330"/>
      <c r="H1" s="330"/>
      <c r="I1" s="330"/>
      <c r="J1" s="330"/>
      <c r="K1" s="330"/>
      <c r="L1" s="330"/>
      <c r="M1" s="330"/>
      <c r="N1" s="330"/>
      <c r="O1" s="330"/>
      <c r="P1" s="330"/>
    </row>
    <row r="3" spans="1:19" ht="12">
      <c r="A3" s="331" t="s">
        <v>16</v>
      </c>
      <c r="B3" s="332" t="s">
        <v>10</v>
      </c>
      <c r="C3" s="329" t="s">
        <v>15</v>
      </c>
      <c r="D3" s="329"/>
      <c r="E3" s="329"/>
      <c r="F3" s="329"/>
      <c r="G3" s="329"/>
      <c r="H3" s="329"/>
      <c r="I3" s="1"/>
      <c r="J3" s="1"/>
      <c r="K3" s="1"/>
      <c r="L3" s="329" t="s">
        <v>3</v>
      </c>
      <c r="M3" s="329"/>
      <c r="N3" s="329" t="s">
        <v>2</v>
      </c>
      <c r="O3" s="329"/>
      <c r="P3" s="329"/>
      <c r="Q3" s="329"/>
      <c r="R3" s="329"/>
      <c r="S3" s="329"/>
    </row>
    <row r="4" spans="1:19" ht="36">
      <c r="A4" s="331"/>
      <c r="B4" s="332"/>
      <c r="C4" s="333" t="s">
        <v>9</v>
      </c>
      <c r="D4" s="333"/>
      <c r="E4" s="333"/>
      <c r="F4" s="333" t="s">
        <v>6</v>
      </c>
      <c r="G4" s="333"/>
      <c r="H4" s="333"/>
      <c r="I4" s="333" t="s">
        <v>742</v>
      </c>
      <c r="J4" s="333"/>
      <c r="K4" s="333"/>
      <c r="L4" s="329"/>
      <c r="M4" s="329"/>
      <c r="N4" s="329" t="s">
        <v>735</v>
      </c>
      <c r="O4" s="329"/>
      <c r="P4" s="1" t="s">
        <v>736</v>
      </c>
      <c r="Q4" s="1" t="s">
        <v>737</v>
      </c>
      <c r="R4" s="329" t="s">
        <v>738</v>
      </c>
      <c r="S4" s="329"/>
    </row>
    <row r="5" spans="1:19" ht="72">
      <c r="A5" s="331"/>
      <c r="B5" s="332"/>
      <c r="C5" s="2" t="s">
        <v>43</v>
      </c>
      <c r="D5" s="2" t="s">
        <v>7</v>
      </c>
      <c r="E5" s="2" t="s">
        <v>8</v>
      </c>
      <c r="F5" s="2" t="s">
        <v>43</v>
      </c>
      <c r="G5" s="2" t="s">
        <v>7</v>
      </c>
      <c r="H5" s="2" t="s">
        <v>8</v>
      </c>
      <c r="I5" s="2" t="s">
        <v>43</v>
      </c>
      <c r="J5" s="2" t="s">
        <v>7</v>
      </c>
      <c r="K5" s="2" t="s">
        <v>8</v>
      </c>
      <c r="L5" s="1" t="s">
        <v>4</v>
      </c>
      <c r="M5" s="1" t="s">
        <v>5</v>
      </c>
      <c r="N5" s="1" t="s">
        <v>739</v>
      </c>
      <c r="O5" s="1" t="s">
        <v>1</v>
      </c>
      <c r="P5" s="1" t="s">
        <v>740</v>
      </c>
      <c r="Q5" s="1" t="s">
        <v>741</v>
      </c>
      <c r="R5" s="1" t="s">
        <v>758</v>
      </c>
      <c r="S5" s="1" t="s">
        <v>759</v>
      </c>
    </row>
    <row r="6" spans="1:19" s="29" customFormat="1" ht="35.25" customHeight="1">
      <c r="A6" s="33">
        <v>1</v>
      </c>
      <c r="B6" s="3">
        <v>2</v>
      </c>
      <c r="C6" s="3">
        <v>3</v>
      </c>
      <c r="D6" s="3">
        <v>4</v>
      </c>
      <c r="E6" s="3">
        <v>5</v>
      </c>
      <c r="F6" s="3">
        <v>6</v>
      </c>
      <c r="G6" s="3">
        <v>7</v>
      </c>
      <c r="H6" s="3">
        <v>8</v>
      </c>
      <c r="I6" s="3">
        <v>9</v>
      </c>
      <c r="J6" s="3">
        <v>10</v>
      </c>
      <c r="K6" s="3">
        <v>11</v>
      </c>
      <c r="L6" s="1">
        <v>12</v>
      </c>
      <c r="M6" s="1">
        <v>13</v>
      </c>
      <c r="N6" s="3">
        <v>14</v>
      </c>
      <c r="O6" s="3">
        <v>15</v>
      </c>
      <c r="P6" s="3">
        <v>16</v>
      </c>
      <c r="Q6" s="3">
        <v>17</v>
      </c>
      <c r="R6" s="3">
        <v>18</v>
      </c>
      <c r="S6" s="3">
        <v>19</v>
      </c>
    </row>
    <row r="7" spans="1:19" ht="72">
      <c r="A7" s="34" t="s">
        <v>41</v>
      </c>
      <c r="B7" s="5" t="s">
        <v>11</v>
      </c>
      <c r="C7" s="4" t="s">
        <v>12</v>
      </c>
      <c r="D7" s="5" t="s">
        <v>12</v>
      </c>
      <c r="E7" s="5" t="s">
        <v>12</v>
      </c>
      <c r="F7" s="4" t="s">
        <v>12</v>
      </c>
      <c r="G7" s="5" t="s">
        <v>12</v>
      </c>
      <c r="H7" s="5" t="s">
        <v>12</v>
      </c>
      <c r="I7" s="5"/>
      <c r="J7" s="5"/>
      <c r="K7" s="5"/>
      <c r="L7" s="92" t="s">
        <v>12</v>
      </c>
      <c r="M7" s="92" t="s">
        <v>12</v>
      </c>
      <c r="N7" s="44">
        <f aca="true" t="shared" si="0" ref="N7:S7">N8+N87+N106+N125+N136</f>
        <v>269306.74659999995</v>
      </c>
      <c r="O7" s="44">
        <f t="shared" si="0"/>
        <v>253273.142</v>
      </c>
      <c r="P7" s="44">
        <f t="shared" si="0"/>
        <v>112910.5</v>
      </c>
      <c r="Q7" s="44">
        <f t="shared" si="0"/>
        <v>93334.1</v>
      </c>
      <c r="R7" s="44">
        <f t="shared" si="0"/>
        <v>96109.5</v>
      </c>
      <c r="S7" s="44">
        <f t="shared" si="0"/>
        <v>96109.5</v>
      </c>
    </row>
    <row r="8" spans="1:19" ht="84">
      <c r="A8" s="35" t="s">
        <v>107</v>
      </c>
      <c r="B8" s="6" t="s">
        <v>14</v>
      </c>
      <c r="C8" s="7" t="s">
        <v>12</v>
      </c>
      <c r="D8" s="8" t="s">
        <v>12</v>
      </c>
      <c r="E8" s="8" t="s">
        <v>12</v>
      </c>
      <c r="F8" s="7" t="s">
        <v>12</v>
      </c>
      <c r="G8" s="8" t="s">
        <v>12</v>
      </c>
      <c r="H8" s="8" t="s">
        <v>12</v>
      </c>
      <c r="I8" s="8"/>
      <c r="J8" s="8"/>
      <c r="K8" s="8"/>
      <c r="L8" s="93" t="s">
        <v>12</v>
      </c>
      <c r="M8" s="93" t="s">
        <v>12</v>
      </c>
      <c r="N8" s="44">
        <f aca="true" t="shared" si="1" ref="N8:S8">SUM(N9:N86)</f>
        <v>85999.0266</v>
      </c>
      <c r="O8" s="44">
        <f t="shared" si="1"/>
        <v>70678.64199999999</v>
      </c>
      <c r="P8" s="44">
        <f t="shared" si="1"/>
        <v>42318.299999999996</v>
      </c>
      <c r="Q8" s="44">
        <f t="shared" si="1"/>
        <v>31505</v>
      </c>
      <c r="R8" s="44">
        <f t="shared" si="1"/>
        <v>33875</v>
      </c>
      <c r="S8" s="44">
        <f t="shared" si="1"/>
        <v>33875</v>
      </c>
    </row>
    <row r="9" spans="1:19" ht="384">
      <c r="A9" s="14" t="s">
        <v>44</v>
      </c>
      <c r="B9" s="60">
        <v>1002</v>
      </c>
      <c r="C9" s="9" t="s">
        <v>916</v>
      </c>
      <c r="D9" s="40" t="s">
        <v>917</v>
      </c>
      <c r="E9" s="40" t="s">
        <v>918</v>
      </c>
      <c r="F9" s="40" t="s">
        <v>805</v>
      </c>
      <c r="G9" s="40" t="s">
        <v>806</v>
      </c>
      <c r="H9" s="40" t="s">
        <v>807</v>
      </c>
      <c r="I9" s="82" t="s">
        <v>874</v>
      </c>
      <c r="J9" s="82" t="s">
        <v>877</v>
      </c>
      <c r="K9" s="82" t="s">
        <v>878</v>
      </c>
      <c r="L9" s="94" t="s">
        <v>928</v>
      </c>
      <c r="M9" s="95" t="s">
        <v>929</v>
      </c>
      <c r="N9" s="96">
        <f>173.3+20861.4+69.8</f>
        <v>21104.5</v>
      </c>
      <c r="O9" s="42">
        <f>20861.4+173.3+68.1</f>
        <v>21102.8</v>
      </c>
      <c r="P9" s="42">
        <f>20637.8+1161.3</f>
        <v>21799.1</v>
      </c>
      <c r="Q9" s="97">
        <f>20637.8</f>
        <v>20637.8</v>
      </c>
      <c r="R9" s="97">
        <v>20637.8</v>
      </c>
      <c r="S9" s="97">
        <v>20637.8</v>
      </c>
    </row>
    <row r="10" spans="1:19" ht="162" customHeight="1">
      <c r="A10" s="14"/>
      <c r="B10" s="60"/>
      <c r="C10" s="9"/>
      <c r="D10" s="40"/>
      <c r="E10" s="40"/>
      <c r="F10" s="40"/>
      <c r="G10" s="40"/>
      <c r="H10" s="40"/>
      <c r="I10" s="82" t="s">
        <v>875</v>
      </c>
      <c r="J10" s="82"/>
      <c r="K10" s="82"/>
      <c r="L10" s="94"/>
      <c r="M10" s="95"/>
      <c r="N10" s="96"/>
      <c r="O10" s="42"/>
      <c r="P10" s="42"/>
      <c r="Q10" s="97"/>
      <c r="R10" s="97"/>
      <c r="S10" s="97"/>
    </row>
    <row r="11" spans="1:19" ht="349.5" customHeight="1">
      <c r="A11" s="14"/>
      <c r="B11" s="60"/>
      <c r="C11" s="9"/>
      <c r="D11" s="40"/>
      <c r="E11" s="40"/>
      <c r="F11" s="40"/>
      <c r="G11" s="40"/>
      <c r="H11" s="40"/>
      <c r="I11" s="82" t="s">
        <v>876</v>
      </c>
      <c r="J11" s="82"/>
      <c r="K11" s="82"/>
      <c r="L11" s="94"/>
      <c r="M11" s="95"/>
      <c r="N11" s="96"/>
      <c r="O11" s="42"/>
      <c r="P11" s="42"/>
      <c r="Q11" s="97"/>
      <c r="R11" s="97"/>
      <c r="S11" s="97"/>
    </row>
    <row r="12" spans="1:19" ht="24">
      <c r="A12" s="14" t="s">
        <v>45</v>
      </c>
      <c r="B12" s="61">
        <v>1003</v>
      </c>
      <c r="C12" s="9"/>
      <c r="D12" s="9"/>
      <c r="E12" s="9"/>
      <c r="F12" s="9"/>
      <c r="G12" s="9"/>
      <c r="H12" s="9"/>
      <c r="I12" s="9"/>
      <c r="J12" s="9"/>
      <c r="K12" s="9"/>
      <c r="L12" s="94"/>
      <c r="M12" s="95"/>
      <c r="N12" s="98"/>
      <c r="O12" s="42"/>
      <c r="P12" s="42"/>
      <c r="Q12" s="42"/>
      <c r="R12" s="42"/>
      <c r="S12" s="42"/>
    </row>
    <row r="13" spans="1:19" ht="36">
      <c r="A13" s="14" t="s">
        <v>46</v>
      </c>
      <c r="B13" s="60">
        <v>1004</v>
      </c>
      <c r="C13" s="9"/>
      <c r="D13" s="10"/>
      <c r="E13" s="11"/>
      <c r="F13" s="12"/>
      <c r="G13" s="9"/>
      <c r="H13" s="80"/>
      <c r="I13" s="32"/>
      <c r="J13" s="32"/>
      <c r="K13" s="32"/>
      <c r="L13" s="94"/>
      <c r="M13" s="95"/>
      <c r="N13" s="96"/>
      <c r="O13" s="42"/>
      <c r="P13" s="42"/>
      <c r="Q13" s="97"/>
      <c r="R13" s="97"/>
      <c r="S13" s="97"/>
    </row>
    <row r="14" spans="1:19" ht="48">
      <c r="A14" s="14" t="s">
        <v>47</v>
      </c>
      <c r="B14" s="61">
        <v>1005</v>
      </c>
      <c r="C14" s="9"/>
      <c r="D14" s="9"/>
      <c r="E14" s="9"/>
      <c r="F14" s="9"/>
      <c r="G14" s="9"/>
      <c r="H14" s="80"/>
      <c r="I14" s="82"/>
      <c r="J14" s="82"/>
      <c r="K14" s="82"/>
      <c r="L14" s="94"/>
      <c r="M14" s="95"/>
      <c r="N14" s="96"/>
      <c r="O14" s="42"/>
      <c r="P14" s="42"/>
      <c r="Q14" s="42"/>
      <c r="R14" s="42"/>
      <c r="S14" s="42"/>
    </row>
    <row r="15" spans="1:19" ht="156">
      <c r="A15" s="14" t="s">
        <v>296</v>
      </c>
      <c r="B15" s="60">
        <v>1006</v>
      </c>
      <c r="C15" s="9"/>
      <c r="D15" s="9"/>
      <c r="E15" s="9"/>
      <c r="F15" s="9"/>
      <c r="G15" s="9"/>
      <c r="H15" s="80"/>
      <c r="I15" s="59"/>
      <c r="J15" s="59"/>
      <c r="K15" s="59"/>
      <c r="L15" s="94"/>
      <c r="M15" s="95"/>
      <c r="N15" s="96"/>
      <c r="O15" s="42"/>
      <c r="P15" s="42"/>
      <c r="Q15" s="97"/>
      <c r="R15" s="97"/>
      <c r="S15" s="97"/>
    </row>
    <row r="16" spans="1:19" ht="60">
      <c r="A16" s="14" t="s">
        <v>48</v>
      </c>
      <c r="B16" s="61">
        <v>1007</v>
      </c>
      <c r="C16" s="9"/>
      <c r="D16" s="9"/>
      <c r="E16" s="9"/>
      <c r="F16" s="9"/>
      <c r="G16" s="9"/>
      <c r="H16" s="9"/>
      <c r="I16" s="9"/>
      <c r="J16" s="9"/>
      <c r="K16" s="9"/>
      <c r="L16" s="94"/>
      <c r="M16" s="95"/>
      <c r="N16" s="98"/>
      <c r="O16" s="42"/>
      <c r="P16" s="42"/>
      <c r="Q16" s="42"/>
      <c r="R16" s="42"/>
      <c r="S16" s="42"/>
    </row>
    <row r="17" spans="1:19" ht="60">
      <c r="A17" s="14" t="s">
        <v>49</v>
      </c>
      <c r="B17" s="60">
        <v>1008</v>
      </c>
      <c r="C17" s="9"/>
      <c r="D17" s="9"/>
      <c r="E17" s="9"/>
      <c r="F17" s="9"/>
      <c r="G17" s="9"/>
      <c r="H17" s="9"/>
      <c r="I17" s="9"/>
      <c r="J17" s="9"/>
      <c r="K17" s="9"/>
      <c r="L17" s="94"/>
      <c r="M17" s="95"/>
      <c r="N17" s="98"/>
      <c r="O17" s="42"/>
      <c r="P17" s="42"/>
      <c r="Q17" s="42"/>
      <c r="R17" s="42"/>
      <c r="S17" s="42"/>
    </row>
    <row r="18" spans="1:19" ht="132">
      <c r="A18" s="14" t="s">
        <v>50</v>
      </c>
      <c r="B18" s="61">
        <v>1009</v>
      </c>
      <c r="C18" s="99"/>
      <c r="D18" s="99"/>
      <c r="E18" s="99"/>
      <c r="F18" s="100"/>
      <c r="G18" s="100"/>
      <c r="H18" s="100"/>
      <c r="I18" s="100"/>
      <c r="J18" s="99"/>
      <c r="K18" s="100"/>
      <c r="L18" s="94"/>
      <c r="M18" s="95"/>
      <c r="N18" s="98"/>
      <c r="O18" s="42"/>
      <c r="P18" s="42"/>
      <c r="Q18" s="97"/>
      <c r="R18" s="97"/>
      <c r="S18" s="97"/>
    </row>
    <row r="19" spans="1:19" ht="108">
      <c r="A19" s="14" t="s">
        <v>51</v>
      </c>
      <c r="B19" s="60">
        <v>1010</v>
      </c>
      <c r="C19" s="9" t="s">
        <v>563</v>
      </c>
      <c r="D19" s="9" t="s">
        <v>564</v>
      </c>
      <c r="E19" s="9" t="s">
        <v>565</v>
      </c>
      <c r="F19" s="9" t="s">
        <v>566</v>
      </c>
      <c r="G19" s="9" t="s">
        <v>568</v>
      </c>
      <c r="H19" s="80" t="s">
        <v>567</v>
      </c>
      <c r="I19" s="90" t="s">
        <v>919</v>
      </c>
      <c r="J19" s="32" t="s">
        <v>920</v>
      </c>
      <c r="K19" s="32" t="s">
        <v>921</v>
      </c>
      <c r="L19" s="94" t="s">
        <v>922</v>
      </c>
      <c r="M19" s="95" t="s">
        <v>923</v>
      </c>
      <c r="N19" s="96">
        <v>1262.8</v>
      </c>
      <c r="O19" s="42">
        <v>0</v>
      </c>
      <c r="P19" s="42">
        <v>8000</v>
      </c>
      <c r="Q19" s="42">
        <v>8000</v>
      </c>
      <c r="R19" s="42">
        <v>8000</v>
      </c>
      <c r="S19" s="42">
        <v>8000</v>
      </c>
    </row>
    <row r="20" spans="1:19" ht="36">
      <c r="A20" s="14" t="s">
        <v>52</v>
      </c>
      <c r="B20" s="61">
        <v>1011</v>
      </c>
      <c r="C20" s="9"/>
      <c r="D20" s="9"/>
      <c r="E20" s="9"/>
      <c r="F20" s="9"/>
      <c r="G20" s="9"/>
      <c r="H20" s="9"/>
      <c r="I20" s="81"/>
      <c r="J20" s="81"/>
      <c r="K20" s="81"/>
      <c r="L20" s="94"/>
      <c r="M20" s="95"/>
      <c r="N20" s="98"/>
      <c r="O20" s="42"/>
      <c r="P20" s="42"/>
      <c r="Q20" s="97"/>
      <c r="R20" s="97"/>
      <c r="S20" s="97"/>
    </row>
    <row r="21" spans="1:19" ht="60">
      <c r="A21" s="14" t="s">
        <v>53</v>
      </c>
      <c r="B21" s="60">
        <v>1012</v>
      </c>
      <c r="C21" s="9"/>
      <c r="D21" s="9"/>
      <c r="E21" s="9"/>
      <c r="F21" s="9"/>
      <c r="G21" s="9"/>
      <c r="H21" s="9"/>
      <c r="I21" s="9"/>
      <c r="J21" s="9"/>
      <c r="K21" s="9"/>
      <c r="L21" s="94"/>
      <c r="M21" s="95"/>
      <c r="N21" s="98"/>
      <c r="O21" s="42"/>
      <c r="P21" s="42"/>
      <c r="Q21" s="97"/>
      <c r="R21" s="97"/>
      <c r="S21" s="97"/>
    </row>
    <row r="22" spans="1:19" ht="72">
      <c r="A22" s="14" t="s">
        <v>54</v>
      </c>
      <c r="B22" s="61">
        <v>1013</v>
      </c>
      <c r="C22" s="9"/>
      <c r="D22" s="9"/>
      <c r="E22" s="9"/>
      <c r="F22" s="9"/>
      <c r="G22" s="9"/>
      <c r="H22" s="9"/>
      <c r="I22" s="84"/>
      <c r="J22" s="84"/>
      <c r="K22" s="84"/>
      <c r="L22" s="94"/>
      <c r="M22" s="95"/>
      <c r="N22" s="98"/>
      <c r="O22" s="42"/>
      <c r="P22" s="42"/>
      <c r="Q22" s="97"/>
      <c r="R22" s="97"/>
      <c r="S22" s="97"/>
    </row>
    <row r="23" spans="1:19" ht="36">
      <c r="A23" s="14" t="s">
        <v>55</v>
      </c>
      <c r="B23" s="60">
        <v>1014</v>
      </c>
      <c r="C23" s="9"/>
      <c r="D23" s="9"/>
      <c r="E23" s="9"/>
      <c r="F23" s="9"/>
      <c r="G23" s="9"/>
      <c r="H23" s="80"/>
      <c r="I23" s="90"/>
      <c r="J23" s="32"/>
      <c r="K23" s="32"/>
      <c r="L23" s="94"/>
      <c r="M23" s="95"/>
      <c r="N23" s="98"/>
      <c r="O23" s="42"/>
      <c r="P23" s="42"/>
      <c r="Q23" s="97"/>
      <c r="R23" s="97"/>
      <c r="S23" s="97"/>
    </row>
    <row r="24" spans="1:19" ht="288">
      <c r="A24" s="14" t="s">
        <v>56</v>
      </c>
      <c r="B24" s="61">
        <v>1015</v>
      </c>
      <c r="C24" s="9"/>
      <c r="D24" s="9"/>
      <c r="E24" s="9"/>
      <c r="F24" s="13"/>
      <c r="G24" s="13"/>
      <c r="H24" s="13"/>
      <c r="I24" s="85"/>
      <c r="J24" s="85"/>
      <c r="K24" s="85"/>
      <c r="L24" s="94"/>
      <c r="M24" s="95"/>
      <c r="N24" s="96"/>
      <c r="O24" s="42"/>
      <c r="P24" s="42"/>
      <c r="Q24" s="97"/>
      <c r="R24" s="97"/>
      <c r="S24" s="97"/>
    </row>
    <row r="25" spans="1:19" ht="192">
      <c r="A25" s="14" t="s">
        <v>57</v>
      </c>
      <c r="B25" s="60">
        <v>1016</v>
      </c>
      <c r="C25" s="9"/>
      <c r="D25" s="9"/>
      <c r="E25" s="9"/>
      <c r="F25" s="9"/>
      <c r="G25" s="9"/>
      <c r="H25" s="9"/>
      <c r="I25" s="81"/>
      <c r="J25" s="81"/>
      <c r="K25" s="81"/>
      <c r="L25" s="94"/>
      <c r="M25" s="95"/>
      <c r="N25" s="96"/>
      <c r="O25" s="42"/>
      <c r="P25" s="42"/>
      <c r="Q25" s="42"/>
      <c r="R25" s="42"/>
      <c r="S25" s="42"/>
    </row>
    <row r="26" spans="1:19" ht="72">
      <c r="A26" s="14" t="s">
        <v>58</v>
      </c>
      <c r="B26" s="61">
        <v>1017</v>
      </c>
      <c r="C26" s="9"/>
      <c r="D26" s="9"/>
      <c r="E26" s="9"/>
      <c r="F26" s="9"/>
      <c r="G26" s="9"/>
      <c r="H26" s="9"/>
      <c r="I26" s="9"/>
      <c r="J26" s="9"/>
      <c r="K26" s="9"/>
      <c r="L26" s="94"/>
      <c r="M26" s="95"/>
      <c r="N26" s="98"/>
      <c r="O26" s="42"/>
      <c r="P26" s="42"/>
      <c r="Q26" s="97"/>
      <c r="R26" s="97"/>
      <c r="S26" s="97"/>
    </row>
    <row r="27" spans="1:19" ht="156">
      <c r="A27" s="14" t="s">
        <v>353</v>
      </c>
      <c r="B27" s="60">
        <v>1018</v>
      </c>
      <c r="C27" s="9"/>
      <c r="D27" s="9"/>
      <c r="E27" s="9"/>
      <c r="F27" s="9"/>
      <c r="G27" s="9"/>
      <c r="H27" s="9"/>
      <c r="I27" s="87"/>
      <c r="J27" s="100"/>
      <c r="K27" s="100"/>
      <c r="L27" s="94"/>
      <c r="M27" s="95"/>
      <c r="N27" s="96"/>
      <c r="O27" s="42"/>
      <c r="P27" s="42"/>
      <c r="Q27" s="97"/>
      <c r="R27" s="97"/>
      <c r="S27" s="97"/>
    </row>
    <row r="28" spans="1:19" ht="132">
      <c r="A28" s="14" t="s">
        <v>59</v>
      </c>
      <c r="B28" s="61">
        <v>1019</v>
      </c>
      <c r="C28" s="9"/>
      <c r="D28" s="9"/>
      <c r="E28" s="9"/>
      <c r="F28" s="9"/>
      <c r="G28" s="9"/>
      <c r="H28" s="9"/>
      <c r="I28" s="9"/>
      <c r="J28" s="9"/>
      <c r="K28" s="9"/>
      <c r="L28" s="94"/>
      <c r="M28" s="95"/>
      <c r="N28" s="98"/>
      <c r="O28" s="42"/>
      <c r="P28" s="42"/>
      <c r="Q28" s="97"/>
      <c r="R28" s="97"/>
      <c r="S28" s="97"/>
    </row>
    <row r="29" spans="1:19" ht="36">
      <c r="A29" s="14" t="s">
        <v>60</v>
      </c>
      <c r="B29" s="60">
        <v>1020</v>
      </c>
      <c r="C29" s="9"/>
      <c r="D29" s="9"/>
      <c r="E29" s="9"/>
      <c r="F29" s="54"/>
      <c r="G29" s="55"/>
      <c r="H29" s="55"/>
      <c r="I29" s="100"/>
      <c r="J29" s="100"/>
      <c r="K29" s="100"/>
      <c r="L29" s="94"/>
      <c r="M29" s="95"/>
      <c r="N29" s="96"/>
      <c r="O29" s="42"/>
      <c r="P29" s="42"/>
      <c r="Q29" s="97"/>
      <c r="R29" s="97"/>
      <c r="S29" s="97"/>
    </row>
    <row r="30" spans="1:19" ht="36">
      <c r="A30" s="14" t="s">
        <v>61</v>
      </c>
      <c r="B30" s="61">
        <v>1021</v>
      </c>
      <c r="C30" s="9"/>
      <c r="D30" s="9"/>
      <c r="E30" s="9"/>
      <c r="F30" s="9"/>
      <c r="G30" s="9"/>
      <c r="H30" s="80"/>
      <c r="I30" s="12"/>
      <c r="J30" s="90"/>
      <c r="K30" s="90"/>
      <c r="L30" s="94"/>
      <c r="M30" s="95"/>
      <c r="N30" s="98"/>
      <c r="O30" s="42"/>
      <c r="P30" s="42"/>
      <c r="Q30" s="97"/>
      <c r="R30" s="97"/>
      <c r="S30" s="97"/>
    </row>
    <row r="31" spans="1:19" ht="60">
      <c r="A31" s="14" t="s">
        <v>62</v>
      </c>
      <c r="B31" s="60">
        <v>1022</v>
      </c>
      <c r="C31" s="9"/>
      <c r="D31" s="9"/>
      <c r="E31" s="9"/>
      <c r="F31" s="9"/>
      <c r="G31" s="9"/>
      <c r="H31" s="9"/>
      <c r="I31" s="9"/>
      <c r="J31" s="9"/>
      <c r="K31" s="9"/>
      <c r="L31" s="94"/>
      <c r="M31" s="95"/>
      <c r="N31" s="98"/>
      <c r="O31" s="42"/>
      <c r="P31" s="42"/>
      <c r="Q31" s="97"/>
      <c r="R31" s="97"/>
      <c r="S31" s="97"/>
    </row>
    <row r="32" spans="1:19" ht="48">
      <c r="A32" s="14" t="s">
        <v>63</v>
      </c>
      <c r="B32" s="61">
        <v>1023</v>
      </c>
      <c r="C32" s="9"/>
      <c r="D32" s="9"/>
      <c r="E32" s="9"/>
      <c r="F32" s="9"/>
      <c r="G32" s="9"/>
      <c r="H32" s="9"/>
      <c r="I32" s="9"/>
      <c r="J32" s="9"/>
      <c r="K32" s="9"/>
      <c r="L32" s="101"/>
      <c r="M32" s="95"/>
      <c r="N32" s="98"/>
      <c r="O32" s="42"/>
      <c r="P32" s="42"/>
      <c r="Q32" s="97"/>
      <c r="R32" s="97"/>
      <c r="S32" s="97"/>
    </row>
    <row r="33" spans="1:19" ht="60">
      <c r="A33" s="14" t="s">
        <v>64</v>
      </c>
      <c r="B33" s="60">
        <v>1024</v>
      </c>
      <c r="C33" s="9"/>
      <c r="D33" s="9"/>
      <c r="E33" s="9"/>
      <c r="F33" s="13"/>
      <c r="G33" s="13"/>
      <c r="H33" s="13"/>
      <c r="I33" s="13"/>
      <c r="J33" s="19"/>
      <c r="K33" s="13"/>
      <c r="L33" s="71"/>
      <c r="M33" s="94"/>
      <c r="N33" s="96"/>
      <c r="O33" s="42"/>
      <c r="P33" s="42"/>
      <c r="Q33" s="97"/>
      <c r="R33" s="97"/>
      <c r="S33" s="97"/>
    </row>
    <row r="34" spans="1:19" ht="48">
      <c r="A34" s="14" t="s">
        <v>65</v>
      </c>
      <c r="B34" s="61">
        <v>1025</v>
      </c>
      <c r="C34" s="9"/>
      <c r="D34" s="9"/>
      <c r="E34" s="9"/>
      <c r="F34" s="9"/>
      <c r="G34" s="9"/>
      <c r="H34" s="9"/>
      <c r="I34" s="9"/>
      <c r="J34" s="9"/>
      <c r="K34" s="9"/>
      <c r="L34" s="94"/>
      <c r="M34" s="95"/>
      <c r="N34" s="98"/>
      <c r="O34" s="42"/>
      <c r="P34" s="42"/>
      <c r="Q34" s="97"/>
      <c r="R34" s="97"/>
      <c r="S34" s="97"/>
    </row>
    <row r="35" spans="1:19" ht="96">
      <c r="A35" s="14" t="s">
        <v>66</v>
      </c>
      <c r="B35" s="60">
        <v>1026</v>
      </c>
      <c r="C35" s="9"/>
      <c r="D35" s="9"/>
      <c r="E35" s="9"/>
      <c r="F35" s="9"/>
      <c r="G35" s="9"/>
      <c r="H35" s="9"/>
      <c r="I35" s="9"/>
      <c r="J35" s="9"/>
      <c r="K35" s="9"/>
      <c r="L35" s="94"/>
      <c r="M35" s="95"/>
      <c r="N35" s="98"/>
      <c r="O35" s="42"/>
      <c r="P35" s="42"/>
      <c r="Q35" s="97"/>
      <c r="R35" s="97"/>
      <c r="S35" s="97"/>
    </row>
    <row r="36" spans="1:19" ht="72">
      <c r="A36" s="14" t="s">
        <v>67</v>
      </c>
      <c r="B36" s="62">
        <v>1027</v>
      </c>
      <c r="C36" s="12"/>
      <c r="D36" s="12"/>
      <c r="E36" s="9"/>
      <c r="F36" s="54"/>
      <c r="G36" s="55"/>
      <c r="H36" s="55"/>
      <c r="I36" s="99"/>
      <c r="J36" s="100"/>
      <c r="K36" s="100"/>
      <c r="L36" s="94"/>
      <c r="M36" s="95"/>
      <c r="N36" s="96"/>
      <c r="O36" s="42"/>
      <c r="P36" s="42"/>
      <c r="Q36" s="97"/>
      <c r="R36" s="97"/>
      <c r="S36" s="97"/>
    </row>
    <row r="37" spans="1:19" ht="96">
      <c r="A37" s="14" t="s">
        <v>68</v>
      </c>
      <c r="B37" s="60">
        <v>1028</v>
      </c>
      <c r="C37" s="9"/>
      <c r="D37" s="9"/>
      <c r="E37" s="9"/>
      <c r="F37" s="9"/>
      <c r="G37" s="9"/>
      <c r="H37" s="9"/>
      <c r="I37" s="9"/>
      <c r="J37" s="9"/>
      <c r="K37" s="9"/>
      <c r="L37" s="94"/>
      <c r="M37" s="95"/>
      <c r="N37" s="98"/>
      <c r="O37" s="42"/>
      <c r="P37" s="42"/>
      <c r="Q37" s="97"/>
      <c r="R37" s="97"/>
      <c r="S37" s="97"/>
    </row>
    <row r="38" spans="1:19" ht="60">
      <c r="A38" s="14" t="s">
        <v>69</v>
      </c>
      <c r="B38" s="61">
        <v>1029</v>
      </c>
      <c r="C38" s="9"/>
      <c r="D38" s="9"/>
      <c r="E38" s="9"/>
      <c r="F38" s="9"/>
      <c r="G38" s="9"/>
      <c r="H38" s="9"/>
      <c r="I38" s="9"/>
      <c r="J38" s="9"/>
      <c r="K38" s="9"/>
      <c r="L38" s="94"/>
      <c r="M38" s="95"/>
      <c r="N38" s="98"/>
      <c r="O38" s="42"/>
      <c r="P38" s="42"/>
      <c r="Q38" s="97"/>
      <c r="R38" s="97"/>
      <c r="S38" s="97"/>
    </row>
    <row r="39" spans="1:19" ht="36">
      <c r="A39" s="14" t="s">
        <v>70</v>
      </c>
      <c r="B39" s="60">
        <v>1030</v>
      </c>
      <c r="C39" s="9"/>
      <c r="D39" s="9"/>
      <c r="E39" s="9"/>
      <c r="F39" s="9"/>
      <c r="G39" s="9"/>
      <c r="H39" s="9"/>
      <c r="I39" s="9"/>
      <c r="J39" s="84"/>
      <c r="K39" s="84"/>
      <c r="L39" s="94"/>
      <c r="M39" s="95"/>
      <c r="N39" s="98"/>
      <c r="O39" s="42"/>
      <c r="P39" s="42"/>
      <c r="Q39" s="42"/>
      <c r="R39" s="42"/>
      <c r="S39" s="42"/>
    </row>
    <row r="40" spans="1:19" s="38" customFormat="1" ht="384">
      <c r="A40" s="14" t="s">
        <v>71</v>
      </c>
      <c r="B40" s="62">
        <v>1031</v>
      </c>
      <c r="C40" s="12" t="s">
        <v>977</v>
      </c>
      <c r="D40" s="12" t="s">
        <v>978</v>
      </c>
      <c r="E40" s="12" t="s">
        <v>979</v>
      </c>
      <c r="F40" s="15" t="s">
        <v>980</v>
      </c>
      <c r="G40" s="15" t="s">
        <v>981</v>
      </c>
      <c r="H40" s="15" t="s">
        <v>982</v>
      </c>
      <c r="I40" s="321" t="s">
        <v>1011</v>
      </c>
      <c r="J40" s="88" t="s">
        <v>983</v>
      </c>
      <c r="K40" s="89" t="s">
        <v>984</v>
      </c>
      <c r="L40" s="312" t="s">
        <v>300</v>
      </c>
      <c r="M40" s="313" t="s">
        <v>312</v>
      </c>
      <c r="N40" s="318">
        <v>12260.441</v>
      </c>
      <c r="O40" s="315">
        <v>12260.441</v>
      </c>
      <c r="P40" s="315">
        <v>2370</v>
      </c>
      <c r="Q40" s="316">
        <v>0</v>
      </c>
      <c r="R40" s="316">
        <v>2370</v>
      </c>
      <c r="S40" s="316">
        <v>2370</v>
      </c>
    </row>
    <row r="41" spans="1:19" s="38" customFormat="1" ht="396">
      <c r="A41" s="14"/>
      <c r="B41" s="62"/>
      <c r="C41" s="12"/>
      <c r="D41" s="12"/>
      <c r="E41" s="12"/>
      <c r="F41" s="15"/>
      <c r="G41" s="15"/>
      <c r="H41" s="15"/>
      <c r="I41" s="322" t="s">
        <v>1012</v>
      </c>
      <c r="J41" s="88"/>
      <c r="K41" s="89"/>
      <c r="L41" s="312"/>
      <c r="M41" s="312"/>
      <c r="N41" s="318"/>
      <c r="O41" s="315"/>
      <c r="P41" s="315"/>
      <c r="Q41" s="316"/>
      <c r="R41" s="316"/>
      <c r="S41" s="316"/>
    </row>
    <row r="42" spans="1:19" ht="84">
      <c r="A42" s="14" t="s">
        <v>72</v>
      </c>
      <c r="B42" s="63">
        <v>1032</v>
      </c>
      <c r="C42" s="12"/>
      <c r="D42" s="12"/>
      <c r="E42" s="9"/>
      <c r="F42" s="13"/>
      <c r="G42" s="13"/>
      <c r="H42" s="13"/>
      <c r="I42" s="13"/>
      <c r="J42" s="13"/>
      <c r="K42" s="13"/>
      <c r="L42" s="17"/>
      <c r="M42" s="94"/>
      <c r="N42" s="309"/>
      <c r="O42" s="310"/>
      <c r="P42" s="310"/>
      <c r="Q42" s="311"/>
      <c r="R42" s="311"/>
      <c r="S42" s="311"/>
    </row>
    <row r="43" spans="1:19" ht="36">
      <c r="A43" s="14" t="s">
        <v>73</v>
      </c>
      <c r="B43" s="61">
        <v>1033</v>
      </c>
      <c r="C43" s="9"/>
      <c r="D43" s="9"/>
      <c r="E43" s="9"/>
      <c r="F43" s="16"/>
      <c r="G43" s="17"/>
      <c r="H43" s="18"/>
      <c r="I43" s="13"/>
      <c r="J43" s="13"/>
      <c r="K43" s="13"/>
      <c r="L43" s="94"/>
      <c r="M43" s="95"/>
      <c r="N43" s="96"/>
      <c r="O43" s="42"/>
      <c r="P43" s="42"/>
      <c r="Q43" s="97"/>
      <c r="R43" s="97"/>
      <c r="S43" s="97"/>
    </row>
    <row r="44" spans="1:19" ht="108">
      <c r="A44" s="14" t="s">
        <v>74</v>
      </c>
      <c r="B44" s="60">
        <v>1034</v>
      </c>
      <c r="C44" s="9"/>
      <c r="D44" s="9"/>
      <c r="E44" s="9"/>
      <c r="F44" s="9"/>
      <c r="G44" s="9"/>
      <c r="H44" s="9"/>
      <c r="I44" s="9"/>
      <c r="J44" s="9"/>
      <c r="K44" s="9"/>
      <c r="L44" s="94"/>
      <c r="M44" s="95"/>
      <c r="N44" s="98"/>
      <c r="O44" s="42"/>
      <c r="P44" s="42"/>
      <c r="Q44" s="97"/>
      <c r="R44" s="97"/>
      <c r="S44" s="97"/>
    </row>
    <row r="45" spans="1:19" ht="24">
      <c r="A45" s="14" t="s">
        <v>75</v>
      </c>
      <c r="B45" s="61">
        <v>1035</v>
      </c>
      <c r="C45" s="9"/>
      <c r="D45" s="9"/>
      <c r="E45" s="9"/>
      <c r="F45" s="9"/>
      <c r="G45" s="9"/>
      <c r="H45" s="9"/>
      <c r="I45" s="9"/>
      <c r="J45" s="9"/>
      <c r="K45" s="9"/>
      <c r="L45" s="94"/>
      <c r="M45" s="95"/>
      <c r="N45" s="98"/>
      <c r="O45" s="42"/>
      <c r="P45" s="42"/>
      <c r="Q45" s="97"/>
      <c r="R45" s="97"/>
      <c r="S45" s="97"/>
    </row>
    <row r="46" spans="1:19" ht="84">
      <c r="A46" s="14" t="s">
        <v>76</v>
      </c>
      <c r="B46" s="60">
        <v>1036</v>
      </c>
      <c r="C46" s="9"/>
      <c r="D46" s="9"/>
      <c r="E46" s="9"/>
      <c r="F46" s="9"/>
      <c r="G46" s="9"/>
      <c r="H46" s="9"/>
      <c r="I46" s="9"/>
      <c r="J46" s="9"/>
      <c r="K46" s="9"/>
      <c r="L46" s="94"/>
      <c r="M46" s="95"/>
      <c r="N46" s="98"/>
      <c r="O46" s="42"/>
      <c r="P46" s="42"/>
      <c r="Q46" s="97"/>
      <c r="R46" s="97"/>
      <c r="S46" s="97"/>
    </row>
    <row r="47" spans="1:19" ht="36">
      <c r="A47" s="14" t="s">
        <v>77</v>
      </c>
      <c r="B47" s="61">
        <v>1037</v>
      </c>
      <c r="C47" s="9"/>
      <c r="D47" s="9"/>
      <c r="E47" s="9"/>
      <c r="F47" s="9"/>
      <c r="G47" s="9"/>
      <c r="H47" s="9"/>
      <c r="I47" s="9"/>
      <c r="J47" s="9"/>
      <c r="K47" s="9"/>
      <c r="L47" s="94"/>
      <c r="M47" s="95"/>
      <c r="N47" s="98"/>
      <c r="O47" s="42"/>
      <c r="P47" s="42"/>
      <c r="Q47" s="97"/>
      <c r="R47" s="97"/>
      <c r="S47" s="97"/>
    </row>
    <row r="48" spans="1:19" ht="156">
      <c r="A48" s="14" t="s">
        <v>78</v>
      </c>
      <c r="B48" s="60">
        <v>1038</v>
      </c>
      <c r="C48" s="9"/>
      <c r="D48" s="9"/>
      <c r="E48" s="9"/>
      <c r="F48" s="9"/>
      <c r="G48" s="9"/>
      <c r="H48" s="9"/>
      <c r="I48" s="9"/>
      <c r="J48" s="9"/>
      <c r="K48" s="9"/>
      <c r="L48" s="94"/>
      <c r="M48" s="95"/>
      <c r="N48" s="98"/>
      <c r="O48" s="42"/>
      <c r="P48" s="42"/>
      <c r="Q48" s="97"/>
      <c r="R48" s="97"/>
      <c r="S48" s="97"/>
    </row>
    <row r="49" spans="1:19" ht="36">
      <c r="A49" s="14" t="s">
        <v>79</v>
      </c>
      <c r="B49" s="61">
        <v>1039</v>
      </c>
      <c r="C49" s="9"/>
      <c r="D49" s="9"/>
      <c r="E49" s="9"/>
      <c r="F49" s="9"/>
      <c r="G49" s="9"/>
      <c r="H49" s="9"/>
      <c r="I49" s="9"/>
      <c r="J49" s="9"/>
      <c r="K49" s="9"/>
      <c r="L49" s="94"/>
      <c r="M49" s="95"/>
      <c r="N49" s="98"/>
      <c r="O49" s="42"/>
      <c r="P49" s="42"/>
      <c r="Q49" s="97"/>
      <c r="R49" s="97"/>
      <c r="S49" s="97"/>
    </row>
    <row r="50" spans="1:19" ht="60">
      <c r="A50" s="14" t="s">
        <v>80</v>
      </c>
      <c r="B50" s="60">
        <v>1040</v>
      </c>
      <c r="C50" s="9"/>
      <c r="D50" s="9"/>
      <c r="E50" s="9"/>
      <c r="F50" s="9"/>
      <c r="G50" s="9"/>
      <c r="H50" s="9"/>
      <c r="I50" s="9"/>
      <c r="J50" s="9"/>
      <c r="K50" s="9"/>
      <c r="L50" s="94"/>
      <c r="M50" s="95"/>
      <c r="N50" s="98"/>
      <c r="O50" s="42"/>
      <c r="P50" s="42"/>
      <c r="Q50" s="97"/>
      <c r="R50" s="97"/>
      <c r="S50" s="97"/>
    </row>
    <row r="51" spans="1:19" ht="72">
      <c r="A51" s="14" t="s">
        <v>81</v>
      </c>
      <c r="B51" s="60">
        <v>1041</v>
      </c>
      <c r="C51" s="9"/>
      <c r="D51" s="9"/>
      <c r="E51" s="9"/>
      <c r="F51" s="9"/>
      <c r="G51" s="9"/>
      <c r="H51" s="9"/>
      <c r="I51" s="9"/>
      <c r="J51" s="9"/>
      <c r="K51" s="9"/>
      <c r="L51" s="94"/>
      <c r="M51" s="95"/>
      <c r="N51" s="98"/>
      <c r="O51" s="42"/>
      <c r="P51" s="42"/>
      <c r="Q51" s="97"/>
      <c r="R51" s="97"/>
      <c r="S51" s="97"/>
    </row>
    <row r="52" spans="1:19" ht="204">
      <c r="A52" s="14" t="s">
        <v>82</v>
      </c>
      <c r="B52" s="60">
        <v>1042</v>
      </c>
      <c r="C52" s="9"/>
      <c r="D52" s="9"/>
      <c r="E52" s="9"/>
      <c r="F52" s="9"/>
      <c r="G52" s="9"/>
      <c r="H52" s="9"/>
      <c r="I52" s="9"/>
      <c r="J52" s="9"/>
      <c r="K52" s="9"/>
      <c r="L52" s="94"/>
      <c r="M52" s="95"/>
      <c r="N52" s="98"/>
      <c r="O52" s="42"/>
      <c r="P52" s="42"/>
      <c r="Q52" s="97"/>
      <c r="R52" s="97"/>
      <c r="S52" s="97"/>
    </row>
    <row r="53" spans="1:19" ht="144">
      <c r="A53" s="14" t="s">
        <v>83</v>
      </c>
      <c r="B53" s="61">
        <v>1043</v>
      </c>
      <c r="C53" s="9"/>
      <c r="D53" s="9"/>
      <c r="E53" s="9"/>
      <c r="F53" s="9"/>
      <c r="G53" s="9"/>
      <c r="H53" s="9"/>
      <c r="I53" s="9"/>
      <c r="J53" s="9"/>
      <c r="K53" s="9"/>
      <c r="L53" s="94"/>
      <c r="M53" s="95"/>
      <c r="N53" s="98"/>
      <c r="O53" s="42"/>
      <c r="P53" s="42"/>
      <c r="Q53" s="97"/>
      <c r="R53" s="97"/>
      <c r="S53" s="97"/>
    </row>
    <row r="54" spans="1:19" ht="48">
      <c r="A54" s="14" t="s">
        <v>84</v>
      </c>
      <c r="B54" s="60">
        <v>1044</v>
      </c>
      <c r="C54" s="9"/>
      <c r="D54" s="9"/>
      <c r="E54" s="9"/>
      <c r="F54" s="9"/>
      <c r="G54" s="9"/>
      <c r="H54" s="9"/>
      <c r="I54" s="9"/>
      <c r="J54" s="9"/>
      <c r="K54" s="9"/>
      <c r="L54" s="94"/>
      <c r="M54" s="95"/>
      <c r="N54" s="98"/>
      <c r="O54" s="42"/>
      <c r="P54" s="42"/>
      <c r="Q54" s="97"/>
      <c r="R54" s="97"/>
      <c r="S54" s="97"/>
    </row>
    <row r="55" spans="1:19" ht="60">
      <c r="A55" s="14" t="s">
        <v>85</v>
      </c>
      <c r="B55" s="61">
        <v>1045</v>
      </c>
      <c r="C55" s="9"/>
      <c r="D55" s="9"/>
      <c r="E55" s="9"/>
      <c r="F55" s="9"/>
      <c r="G55" s="9"/>
      <c r="H55" s="9"/>
      <c r="I55" s="9"/>
      <c r="J55" s="9"/>
      <c r="K55" s="9"/>
      <c r="L55" s="94"/>
      <c r="M55" s="95"/>
      <c r="N55" s="98"/>
      <c r="O55" s="42"/>
      <c r="P55" s="42"/>
      <c r="Q55" s="97"/>
      <c r="R55" s="97"/>
      <c r="S55" s="97"/>
    </row>
    <row r="56" spans="1:19" ht="132">
      <c r="A56" s="14" t="s">
        <v>86</v>
      </c>
      <c r="B56" s="60">
        <v>1046</v>
      </c>
      <c r="C56" s="9"/>
      <c r="D56" s="9"/>
      <c r="E56" s="9"/>
      <c r="F56" s="9"/>
      <c r="G56" s="9"/>
      <c r="H56" s="9"/>
      <c r="I56" s="9"/>
      <c r="J56" s="9"/>
      <c r="K56" s="9"/>
      <c r="L56" s="94"/>
      <c r="M56" s="95"/>
      <c r="N56" s="98"/>
      <c r="O56" s="42"/>
      <c r="P56" s="42"/>
      <c r="Q56" s="97"/>
      <c r="R56" s="97"/>
      <c r="S56" s="97"/>
    </row>
    <row r="57" spans="1:19" ht="36">
      <c r="A57" s="14" t="s">
        <v>87</v>
      </c>
      <c r="B57" s="61">
        <v>1047</v>
      </c>
      <c r="C57" s="9"/>
      <c r="D57" s="9"/>
      <c r="E57" s="9"/>
      <c r="F57" s="9"/>
      <c r="G57" s="9"/>
      <c r="H57" s="9"/>
      <c r="I57" s="9"/>
      <c r="J57" s="9"/>
      <c r="K57" s="9"/>
      <c r="L57" s="94"/>
      <c r="M57" s="95"/>
      <c r="N57" s="98"/>
      <c r="O57" s="42"/>
      <c r="P57" s="42"/>
      <c r="Q57" s="97"/>
      <c r="R57" s="97"/>
      <c r="S57" s="97"/>
    </row>
    <row r="58" spans="1:19" ht="48">
      <c r="A58" s="14" t="s">
        <v>88</v>
      </c>
      <c r="B58" s="60">
        <v>1048</v>
      </c>
      <c r="C58" s="9"/>
      <c r="D58" s="9"/>
      <c r="E58" s="9"/>
      <c r="F58" s="9"/>
      <c r="G58" s="9"/>
      <c r="H58" s="9"/>
      <c r="I58" s="9"/>
      <c r="J58" s="9"/>
      <c r="K58" s="9"/>
      <c r="L58" s="94"/>
      <c r="M58" s="95"/>
      <c r="N58" s="98"/>
      <c r="O58" s="42"/>
      <c r="P58" s="42"/>
      <c r="Q58" s="97"/>
      <c r="R58" s="97"/>
      <c r="S58" s="97"/>
    </row>
    <row r="59" spans="1:19" ht="96">
      <c r="A59" s="14" t="s">
        <v>89</v>
      </c>
      <c r="B59" s="61">
        <v>1049</v>
      </c>
      <c r="C59" s="9"/>
      <c r="D59" s="9"/>
      <c r="E59" s="9"/>
      <c r="F59" s="9"/>
      <c r="G59" s="9"/>
      <c r="H59" s="9"/>
      <c r="I59" s="9"/>
      <c r="J59" s="9"/>
      <c r="K59" s="9"/>
      <c r="L59" s="94"/>
      <c r="M59" s="95"/>
      <c r="N59" s="98"/>
      <c r="O59" s="42"/>
      <c r="P59" s="42"/>
      <c r="Q59" s="97"/>
      <c r="R59" s="97"/>
      <c r="S59" s="97"/>
    </row>
    <row r="60" spans="1:19" ht="84">
      <c r="A60" s="14" t="s">
        <v>90</v>
      </c>
      <c r="B60" s="60">
        <v>1050</v>
      </c>
      <c r="C60" s="9"/>
      <c r="D60" s="9"/>
      <c r="E60" s="9"/>
      <c r="F60" s="9"/>
      <c r="G60" s="9"/>
      <c r="H60" s="9"/>
      <c r="I60" s="9"/>
      <c r="J60" s="9"/>
      <c r="K60" s="9"/>
      <c r="L60" s="94"/>
      <c r="M60" s="95"/>
      <c r="N60" s="98"/>
      <c r="O60" s="42"/>
      <c r="P60" s="42"/>
      <c r="Q60" s="97"/>
      <c r="R60" s="97"/>
      <c r="S60" s="97"/>
    </row>
    <row r="61" spans="1:19" ht="72">
      <c r="A61" s="14" t="s">
        <v>91</v>
      </c>
      <c r="B61" s="61">
        <v>1051</v>
      </c>
      <c r="C61" s="9"/>
      <c r="D61" s="9"/>
      <c r="E61" s="9"/>
      <c r="F61" s="9"/>
      <c r="G61" s="9"/>
      <c r="H61" s="9"/>
      <c r="I61" s="9"/>
      <c r="J61" s="9"/>
      <c r="K61" s="9"/>
      <c r="L61" s="94"/>
      <c r="M61" s="95"/>
      <c r="N61" s="98"/>
      <c r="O61" s="42"/>
      <c r="P61" s="42"/>
      <c r="Q61" s="97"/>
      <c r="R61" s="97"/>
      <c r="S61" s="97"/>
    </row>
    <row r="62" spans="1:19" ht="60">
      <c r="A62" s="14" t="s">
        <v>92</v>
      </c>
      <c r="B62" s="60">
        <v>1052</v>
      </c>
      <c r="C62" s="9"/>
      <c r="D62" s="9"/>
      <c r="E62" s="9"/>
      <c r="F62" s="9"/>
      <c r="G62" s="9"/>
      <c r="H62" s="9"/>
      <c r="I62" s="9"/>
      <c r="J62" s="9"/>
      <c r="K62" s="9"/>
      <c r="L62" s="94"/>
      <c r="M62" s="95"/>
      <c r="N62" s="98"/>
      <c r="O62" s="42"/>
      <c r="P62" s="42"/>
      <c r="Q62" s="97"/>
      <c r="R62" s="97"/>
      <c r="S62" s="97"/>
    </row>
    <row r="63" spans="1:19" ht="348">
      <c r="A63" s="14" t="s">
        <v>93</v>
      </c>
      <c r="B63" s="61">
        <v>1053</v>
      </c>
      <c r="C63" s="9"/>
      <c r="D63" s="9"/>
      <c r="E63" s="9"/>
      <c r="F63" s="9"/>
      <c r="G63" s="9"/>
      <c r="H63" s="9"/>
      <c r="I63" s="9"/>
      <c r="J63" s="9"/>
      <c r="K63" s="9"/>
      <c r="L63" s="94"/>
      <c r="M63" s="95"/>
      <c r="N63" s="98"/>
      <c r="O63" s="42"/>
      <c r="P63" s="42"/>
      <c r="Q63" s="97"/>
      <c r="R63" s="97"/>
      <c r="S63" s="97"/>
    </row>
    <row r="64" spans="1:19" ht="36">
      <c r="A64" s="14" t="s">
        <v>94</v>
      </c>
      <c r="B64" s="60">
        <v>1054</v>
      </c>
      <c r="C64" s="9"/>
      <c r="D64" s="9"/>
      <c r="E64" s="9"/>
      <c r="F64" s="9"/>
      <c r="G64" s="9"/>
      <c r="H64" s="9"/>
      <c r="I64" s="9"/>
      <c r="J64" s="9"/>
      <c r="K64" s="9"/>
      <c r="L64" s="94"/>
      <c r="M64" s="95"/>
      <c r="N64" s="98"/>
      <c r="O64" s="42"/>
      <c r="P64" s="42"/>
      <c r="Q64" s="97"/>
      <c r="R64" s="97"/>
      <c r="S64" s="97"/>
    </row>
    <row r="65" spans="1:19" ht="84">
      <c r="A65" s="14" t="s">
        <v>95</v>
      </c>
      <c r="B65" s="61">
        <v>1055</v>
      </c>
      <c r="C65" s="9"/>
      <c r="D65" s="9"/>
      <c r="E65" s="9"/>
      <c r="F65" s="9"/>
      <c r="G65" s="9"/>
      <c r="H65" s="9"/>
      <c r="I65" s="9"/>
      <c r="J65" s="9"/>
      <c r="K65" s="9"/>
      <c r="L65" s="94"/>
      <c r="M65" s="95"/>
      <c r="N65" s="98"/>
      <c r="O65" s="42"/>
      <c r="P65" s="42"/>
      <c r="Q65" s="97"/>
      <c r="R65" s="97"/>
      <c r="S65" s="97"/>
    </row>
    <row r="66" spans="1:19" ht="60">
      <c r="A66" s="14" t="s">
        <v>96</v>
      </c>
      <c r="B66" s="60">
        <v>1056</v>
      </c>
      <c r="C66" s="9"/>
      <c r="D66" s="9"/>
      <c r="E66" s="9"/>
      <c r="F66" s="9"/>
      <c r="G66" s="9"/>
      <c r="H66" s="9"/>
      <c r="I66" s="9"/>
      <c r="J66" s="9"/>
      <c r="K66" s="9"/>
      <c r="L66" s="94"/>
      <c r="M66" s="95"/>
      <c r="N66" s="98"/>
      <c r="O66" s="42"/>
      <c r="P66" s="42"/>
      <c r="Q66" s="97"/>
      <c r="R66" s="97"/>
      <c r="S66" s="97"/>
    </row>
    <row r="67" spans="1:19" ht="48">
      <c r="A67" s="14" t="s">
        <v>97</v>
      </c>
      <c r="B67" s="61">
        <v>1057</v>
      </c>
      <c r="C67" s="9"/>
      <c r="D67" s="9"/>
      <c r="E67" s="9"/>
      <c r="F67" s="9"/>
      <c r="G67" s="9"/>
      <c r="H67" s="9"/>
      <c r="I67" s="9"/>
      <c r="J67" s="9"/>
      <c r="K67" s="9"/>
      <c r="L67" s="94"/>
      <c r="M67" s="95"/>
      <c r="N67" s="98"/>
      <c r="O67" s="42"/>
      <c r="P67" s="42"/>
      <c r="Q67" s="97"/>
      <c r="R67" s="97"/>
      <c r="S67" s="97"/>
    </row>
    <row r="68" spans="1:19" ht="96">
      <c r="A68" s="14" t="s">
        <v>98</v>
      </c>
      <c r="B68" s="60">
        <v>1058</v>
      </c>
      <c r="C68" s="9"/>
      <c r="D68" s="9"/>
      <c r="E68" s="9"/>
      <c r="F68" s="9"/>
      <c r="G68" s="9"/>
      <c r="H68" s="9"/>
      <c r="I68" s="9"/>
      <c r="J68" s="9"/>
      <c r="K68" s="9"/>
      <c r="L68" s="94"/>
      <c r="M68" s="95"/>
      <c r="N68" s="98"/>
      <c r="O68" s="42"/>
      <c r="P68" s="42"/>
      <c r="Q68" s="97"/>
      <c r="R68" s="97"/>
      <c r="S68" s="97"/>
    </row>
    <row r="69" spans="1:19" ht="72">
      <c r="A69" s="14" t="s">
        <v>99</v>
      </c>
      <c r="B69" s="61">
        <v>1059</v>
      </c>
      <c r="C69" s="9"/>
      <c r="D69" s="9"/>
      <c r="E69" s="9"/>
      <c r="F69" s="9"/>
      <c r="G69" s="9"/>
      <c r="H69" s="9"/>
      <c r="I69" s="9"/>
      <c r="J69" s="9"/>
      <c r="K69" s="9"/>
      <c r="L69" s="94"/>
      <c r="M69" s="95"/>
      <c r="N69" s="98"/>
      <c r="O69" s="42"/>
      <c r="P69" s="42"/>
      <c r="Q69" s="97"/>
      <c r="R69" s="97"/>
      <c r="S69" s="97"/>
    </row>
    <row r="70" spans="1:19" ht="36">
      <c r="A70" s="14" t="s">
        <v>100</v>
      </c>
      <c r="B70" s="60">
        <v>1060</v>
      </c>
      <c r="C70" s="9"/>
      <c r="D70" s="9"/>
      <c r="E70" s="9"/>
      <c r="F70" s="9"/>
      <c r="G70" s="9"/>
      <c r="H70" s="9"/>
      <c r="I70" s="9"/>
      <c r="J70" s="9"/>
      <c r="K70" s="9"/>
      <c r="L70" s="94"/>
      <c r="M70" s="95"/>
      <c r="N70" s="98"/>
      <c r="O70" s="42"/>
      <c r="P70" s="42"/>
      <c r="Q70" s="97"/>
      <c r="R70" s="97"/>
      <c r="S70" s="97"/>
    </row>
    <row r="71" spans="1:19" ht="72">
      <c r="A71" s="14" t="s">
        <v>101</v>
      </c>
      <c r="B71" s="61">
        <v>1061</v>
      </c>
      <c r="C71" s="9"/>
      <c r="D71" s="9"/>
      <c r="E71" s="9"/>
      <c r="F71" s="9"/>
      <c r="G71" s="9"/>
      <c r="H71" s="9"/>
      <c r="I71" s="9"/>
      <c r="J71" s="9"/>
      <c r="K71" s="9"/>
      <c r="L71" s="94"/>
      <c r="M71" s="95"/>
      <c r="N71" s="98"/>
      <c r="O71" s="42"/>
      <c r="P71" s="42"/>
      <c r="Q71" s="97"/>
      <c r="R71" s="97"/>
      <c r="S71" s="97"/>
    </row>
    <row r="72" spans="1:19" ht="96">
      <c r="A72" s="14" t="s">
        <v>102</v>
      </c>
      <c r="B72" s="60">
        <v>1062</v>
      </c>
      <c r="C72" s="9"/>
      <c r="D72" s="9"/>
      <c r="E72" s="9"/>
      <c r="F72" s="9"/>
      <c r="G72" s="9"/>
      <c r="H72" s="9"/>
      <c r="I72" s="9"/>
      <c r="J72" s="9"/>
      <c r="K72" s="9"/>
      <c r="L72" s="94"/>
      <c r="M72" s="95"/>
      <c r="N72" s="98"/>
      <c r="O72" s="42"/>
      <c r="P72" s="42"/>
      <c r="Q72" s="97"/>
      <c r="R72" s="97"/>
      <c r="S72" s="97"/>
    </row>
    <row r="73" spans="1:19" ht="84">
      <c r="A73" s="14" t="s">
        <v>103</v>
      </c>
      <c r="B73" s="61">
        <v>1063</v>
      </c>
      <c r="C73" s="9"/>
      <c r="D73" s="9"/>
      <c r="E73" s="9"/>
      <c r="F73" s="9"/>
      <c r="G73" s="9"/>
      <c r="H73" s="9"/>
      <c r="I73" s="9"/>
      <c r="J73" s="9"/>
      <c r="K73" s="9"/>
      <c r="L73" s="94"/>
      <c r="M73" s="95"/>
      <c r="N73" s="98"/>
      <c r="O73" s="42"/>
      <c r="P73" s="42"/>
      <c r="Q73" s="97"/>
      <c r="R73" s="97"/>
      <c r="S73" s="97"/>
    </row>
    <row r="74" spans="1:19" ht="96">
      <c r="A74" s="14" t="s">
        <v>104</v>
      </c>
      <c r="B74" s="60">
        <v>1064</v>
      </c>
      <c r="C74" s="9"/>
      <c r="D74" s="9"/>
      <c r="E74" s="9"/>
      <c r="F74" s="9"/>
      <c r="G74" s="9"/>
      <c r="H74" s="9"/>
      <c r="I74" s="9"/>
      <c r="J74" s="9"/>
      <c r="K74" s="9"/>
      <c r="L74" s="94"/>
      <c r="M74" s="95"/>
      <c r="N74" s="98"/>
      <c r="O74" s="42"/>
      <c r="P74" s="42"/>
      <c r="Q74" s="97"/>
      <c r="R74" s="97"/>
      <c r="S74" s="97"/>
    </row>
    <row r="75" spans="1:19" ht="24">
      <c r="A75" s="14" t="s">
        <v>105</v>
      </c>
      <c r="B75" s="61">
        <v>1065</v>
      </c>
      <c r="C75" s="9"/>
      <c r="D75" s="9"/>
      <c r="E75" s="9"/>
      <c r="F75" s="9"/>
      <c r="G75" s="9"/>
      <c r="H75" s="9"/>
      <c r="I75" s="9"/>
      <c r="J75" s="9"/>
      <c r="K75" s="9"/>
      <c r="L75" s="94"/>
      <c r="M75" s="95"/>
      <c r="N75" s="98"/>
      <c r="O75" s="42"/>
      <c r="P75" s="42"/>
      <c r="Q75" s="97"/>
      <c r="R75" s="97"/>
      <c r="S75" s="97"/>
    </row>
    <row r="76" spans="1:19" ht="60">
      <c r="A76" s="14" t="s">
        <v>106</v>
      </c>
      <c r="B76" s="60">
        <v>1066</v>
      </c>
      <c r="C76" s="9"/>
      <c r="D76" s="9"/>
      <c r="E76" s="9"/>
      <c r="F76" s="9"/>
      <c r="G76" s="9"/>
      <c r="H76" s="9"/>
      <c r="I76" s="9"/>
      <c r="J76" s="9"/>
      <c r="K76" s="9"/>
      <c r="L76" s="94"/>
      <c r="M76" s="95"/>
      <c r="N76" s="98"/>
      <c r="O76" s="42"/>
      <c r="P76" s="42"/>
      <c r="Q76" s="97"/>
      <c r="R76" s="97"/>
      <c r="S76" s="97"/>
    </row>
    <row r="77" spans="1:19" s="38" customFormat="1" ht="264">
      <c r="A77" s="14" t="s">
        <v>83</v>
      </c>
      <c r="B77" s="62">
        <v>1067</v>
      </c>
      <c r="C77" s="12" t="s">
        <v>1009</v>
      </c>
      <c r="D77" s="12" t="s">
        <v>985</v>
      </c>
      <c r="E77" s="12" t="s">
        <v>986</v>
      </c>
      <c r="F77" s="12" t="s">
        <v>987</v>
      </c>
      <c r="G77" s="12"/>
      <c r="H77" s="12" t="s">
        <v>988</v>
      </c>
      <c r="I77" s="83" t="s">
        <v>989</v>
      </c>
      <c r="J77" s="86" t="s">
        <v>990</v>
      </c>
      <c r="K77" s="86" t="s">
        <v>991</v>
      </c>
      <c r="L77" s="312" t="s">
        <v>297</v>
      </c>
      <c r="M77" s="313" t="s">
        <v>298</v>
      </c>
      <c r="N77" s="318">
        <v>48813.8856</v>
      </c>
      <c r="O77" s="315">
        <v>34758.001</v>
      </c>
      <c r="P77" s="315">
        <v>7282</v>
      </c>
      <c r="Q77" s="316">
        <v>0</v>
      </c>
      <c r="R77" s="316">
        <v>0</v>
      </c>
      <c r="S77" s="316">
        <v>0</v>
      </c>
    </row>
    <row r="78" spans="1:19" ht="204">
      <c r="A78" s="14" t="s">
        <v>82</v>
      </c>
      <c r="B78" s="60">
        <v>1068</v>
      </c>
      <c r="C78" s="9"/>
      <c r="D78" s="9"/>
      <c r="E78" s="9"/>
      <c r="F78" s="9"/>
      <c r="G78" s="9"/>
      <c r="H78" s="9"/>
      <c r="I78" s="83"/>
      <c r="J78" s="86"/>
      <c r="K78" s="86"/>
      <c r="L78" s="94"/>
      <c r="M78" s="95"/>
      <c r="N78" s="96"/>
      <c r="O78" s="42"/>
      <c r="P78" s="42"/>
      <c r="Q78" s="97"/>
      <c r="R78" s="97"/>
      <c r="S78" s="97"/>
    </row>
    <row r="79" spans="1:19" ht="168">
      <c r="A79" s="14" t="s">
        <v>350</v>
      </c>
      <c r="B79" s="61">
        <v>1069</v>
      </c>
      <c r="C79" s="9" t="s">
        <v>581</v>
      </c>
      <c r="D79" s="9" t="s">
        <v>582</v>
      </c>
      <c r="E79" s="9" t="s">
        <v>583</v>
      </c>
      <c r="F79" s="9"/>
      <c r="G79" s="9"/>
      <c r="H79" s="9"/>
      <c r="I79" s="83" t="s">
        <v>863</v>
      </c>
      <c r="J79" s="86" t="s">
        <v>861</v>
      </c>
      <c r="K79" s="86" t="s">
        <v>862</v>
      </c>
      <c r="L79" s="94" t="s">
        <v>303</v>
      </c>
      <c r="M79" s="95" t="s">
        <v>306</v>
      </c>
      <c r="N79" s="96">
        <f>2557.4</f>
        <v>2557.4</v>
      </c>
      <c r="O79" s="42">
        <f>2557.4</f>
        <v>2557.4</v>
      </c>
      <c r="P79" s="42">
        <f>2867.2</f>
        <v>2867.2</v>
      </c>
      <c r="Q79" s="97">
        <f>2867.2</f>
        <v>2867.2</v>
      </c>
      <c r="R79" s="97">
        <f>2867.2</f>
        <v>2867.2</v>
      </c>
      <c r="S79" s="97">
        <f>2867.2</f>
        <v>2867.2</v>
      </c>
    </row>
    <row r="80" spans="1:19" ht="36">
      <c r="A80" s="14" t="s">
        <v>329</v>
      </c>
      <c r="B80" s="61">
        <v>1070</v>
      </c>
      <c r="C80" s="9"/>
      <c r="D80" s="9"/>
      <c r="E80" s="9"/>
      <c r="F80" s="9"/>
      <c r="G80" s="9"/>
      <c r="H80" s="9"/>
      <c r="I80" s="83"/>
      <c r="J80" s="86"/>
      <c r="K80" s="86"/>
      <c r="L80" s="94"/>
      <c r="M80" s="95"/>
      <c r="N80" s="96"/>
      <c r="O80" s="42"/>
      <c r="P80" s="42"/>
      <c r="Q80" s="97"/>
      <c r="R80" s="97"/>
      <c r="S80" s="97"/>
    </row>
    <row r="81" spans="1:19" ht="288">
      <c r="A81" s="14" t="s">
        <v>332</v>
      </c>
      <c r="B81" s="61">
        <v>1071</v>
      </c>
      <c r="C81" s="9"/>
      <c r="D81" s="9"/>
      <c r="E81" s="9"/>
      <c r="F81" s="9"/>
      <c r="G81" s="9"/>
      <c r="H81" s="9"/>
      <c r="I81" s="83"/>
      <c r="J81" s="86"/>
      <c r="K81" s="86"/>
      <c r="L81" s="94"/>
      <c r="M81" s="95"/>
      <c r="N81" s="96"/>
      <c r="O81" s="42"/>
      <c r="P81" s="42"/>
      <c r="Q81" s="97"/>
      <c r="R81" s="97"/>
      <c r="S81" s="97"/>
    </row>
    <row r="82" spans="1:19" ht="72">
      <c r="A82" s="14" t="s">
        <v>81</v>
      </c>
      <c r="B82" s="61">
        <v>1072</v>
      </c>
      <c r="C82" s="9"/>
      <c r="D82" s="9"/>
      <c r="E82" s="9"/>
      <c r="F82" s="9"/>
      <c r="G82" s="9"/>
      <c r="H82" s="80"/>
      <c r="I82" s="83"/>
      <c r="J82" s="86"/>
      <c r="K82" s="86"/>
      <c r="L82" s="94"/>
      <c r="M82" s="95"/>
      <c r="N82" s="96"/>
      <c r="O82" s="42"/>
      <c r="P82" s="42"/>
      <c r="Q82" s="97"/>
      <c r="R82" s="97"/>
      <c r="S82" s="97"/>
    </row>
    <row r="83" spans="1:19" ht="84">
      <c r="A83" s="14" t="s">
        <v>95</v>
      </c>
      <c r="B83" s="61">
        <v>1073</v>
      </c>
      <c r="C83" s="9"/>
      <c r="D83" s="9"/>
      <c r="E83" s="9"/>
      <c r="F83" s="9"/>
      <c r="G83" s="9"/>
      <c r="H83" s="9"/>
      <c r="I83" s="83"/>
      <c r="J83" s="86"/>
      <c r="K83" s="86"/>
      <c r="L83" s="94"/>
      <c r="M83" s="95"/>
      <c r="N83" s="98"/>
      <c r="O83" s="42"/>
      <c r="P83" s="42"/>
      <c r="Q83" s="42"/>
      <c r="R83" s="42"/>
      <c r="S83" s="97"/>
    </row>
    <row r="84" spans="1:19" ht="72">
      <c r="A84" s="14" t="s">
        <v>99</v>
      </c>
      <c r="B84" s="61">
        <v>1074</v>
      </c>
      <c r="C84" s="9"/>
      <c r="D84" s="9"/>
      <c r="E84" s="9"/>
      <c r="F84" s="9"/>
      <c r="G84" s="9"/>
      <c r="H84" s="9"/>
      <c r="I84" s="83"/>
      <c r="J84" s="86"/>
      <c r="K84" s="86"/>
      <c r="L84" s="94"/>
      <c r="M84" s="95"/>
      <c r="N84" s="96"/>
      <c r="O84" s="42"/>
      <c r="P84" s="42"/>
      <c r="Q84" s="97"/>
      <c r="R84" s="97"/>
      <c r="S84" s="97"/>
    </row>
    <row r="85" spans="1:19" ht="36">
      <c r="A85" s="14" t="s">
        <v>341</v>
      </c>
      <c r="B85" s="61">
        <v>1075</v>
      </c>
      <c r="C85" s="9"/>
      <c r="D85" s="9"/>
      <c r="E85" s="9"/>
      <c r="F85" s="9"/>
      <c r="G85" s="9"/>
      <c r="H85" s="9"/>
      <c r="I85" s="83"/>
      <c r="J85" s="86"/>
      <c r="K85" s="86"/>
      <c r="L85" s="94"/>
      <c r="M85" s="95"/>
      <c r="N85" s="96"/>
      <c r="O85" s="42"/>
      <c r="P85" s="42"/>
      <c r="Q85" s="97"/>
      <c r="R85" s="97"/>
      <c r="S85" s="97"/>
    </row>
    <row r="86" spans="1:19" ht="12">
      <c r="A86" s="14" t="s">
        <v>13</v>
      </c>
      <c r="B86" s="60"/>
      <c r="C86" s="56"/>
      <c r="D86" s="56"/>
      <c r="E86" s="56"/>
      <c r="F86" s="56"/>
      <c r="G86" s="56"/>
      <c r="H86" s="56"/>
      <c r="I86" s="56"/>
      <c r="J86" s="56"/>
      <c r="K86" s="56"/>
      <c r="L86" s="94"/>
      <c r="M86" s="95"/>
      <c r="N86" s="98"/>
      <c r="O86" s="42"/>
      <c r="P86" s="42"/>
      <c r="Q86" s="97"/>
      <c r="R86" s="97"/>
      <c r="S86" s="97"/>
    </row>
    <row r="87" spans="1:19" ht="108">
      <c r="A87" s="35" t="s">
        <v>108</v>
      </c>
      <c r="B87" s="64" t="s">
        <v>17</v>
      </c>
      <c r="C87" s="57" t="s">
        <v>12</v>
      </c>
      <c r="D87" s="58" t="s">
        <v>12</v>
      </c>
      <c r="E87" s="58" t="s">
        <v>12</v>
      </c>
      <c r="F87" s="57" t="s">
        <v>12</v>
      </c>
      <c r="G87" s="58" t="s">
        <v>12</v>
      </c>
      <c r="H87" s="58" t="s">
        <v>12</v>
      </c>
      <c r="I87" s="58"/>
      <c r="J87" s="58"/>
      <c r="K87" s="58"/>
      <c r="L87" s="102" t="s">
        <v>12</v>
      </c>
      <c r="M87" s="93" t="s">
        <v>12</v>
      </c>
      <c r="N87" s="44">
        <f aca="true" t="shared" si="2" ref="N87:S87">SUM(N88:N105)</f>
        <v>5722.4</v>
      </c>
      <c r="O87" s="44">
        <f t="shared" si="2"/>
        <v>5722.4</v>
      </c>
      <c r="P87" s="44">
        <f t="shared" si="2"/>
        <v>5800</v>
      </c>
      <c r="Q87" s="103">
        <f t="shared" si="2"/>
        <v>5800</v>
      </c>
      <c r="R87" s="103">
        <f t="shared" si="2"/>
        <v>5800</v>
      </c>
      <c r="S87" s="103">
        <f t="shared" si="2"/>
        <v>5800</v>
      </c>
    </row>
    <row r="88" spans="1:19" ht="24">
      <c r="A88" s="14" t="s">
        <v>109</v>
      </c>
      <c r="B88" s="61">
        <v>1101</v>
      </c>
      <c r="C88" s="56"/>
      <c r="D88" s="56"/>
      <c r="E88" s="56"/>
      <c r="F88" s="56"/>
      <c r="G88" s="56"/>
      <c r="H88" s="56"/>
      <c r="I88" s="75"/>
      <c r="J88" s="75"/>
      <c r="K88" s="75"/>
      <c r="L88" s="94"/>
      <c r="M88" s="95"/>
      <c r="N88" s="98"/>
      <c r="O88" s="42"/>
      <c r="P88" s="42"/>
      <c r="Q88" s="97"/>
      <c r="R88" s="97"/>
      <c r="S88" s="97"/>
    </row>
    <row r="89" spans="1:19" ht="12">
      <c r="A89" s="14" t="s">
        <v>110</v>
      </c>
      <c r="B89" s="61">
        <v>1102</v>
      </c>
      <c r="C89" s="9"/>
      <c r="D89" s="9"/>
      <c r="E89" s="9"/>
      <c r="F89" s="56"/>
      <c r="G89" s="56"/>
      <c r="H89" s="77"/>
      <c r="I89" s="59"/>
      <c r="J89" s="32"/>
      <c r="K89" s="32"/>
      <c r="L89" s="94"/>
      <c r="M89" s="95"/>
      <c r="N89" s="96"/>
      <c r="O89" s="42"/>
      <c r="P89" s="42"/>
      <c r="Q89" s="97"/>
      <c r="R89" s="97"/>
      <c r="S89" s="97"/>
    </row>
    <row r="90" spans="1:19" ht="48">
      <c r="A90" s="14" t="s">
        <v>111</v>
      </c>
      <c r="B90" s="61">
        <v>1103</v>
      </c>
      <c r="C90" s="56"/>
      <c r="D90" s="56"/>
      <c r="E90" s="56"/>
      <c r="F90" s="56"/>
      <c r="G90" s="56"/>
      <c r="H90" s="56"/>
      <c r="I90" s="56"/>
      <c r="J90" s="56"/>
      <c r="K90" s="56"/>
      <c r="L90" s="94"/>
      <c r="M90" s="95"/>
      <c r="N90" s="98"/>
      <c r="O90" s="42"/>
      <c r="P90" s="42"/>
      <c r="Q90" s="97"/>
      <c r="R90" s="97"/>
      <c r="S90" s="97"/>
    </row>
    <row r="91" spans="1:19" ht="24">
      <c r="A91" s="14" t="s">
        <v>112</v>
      </c>
      <c r="B91" s="61">
        <v>1104</v>
      </c>
      <c r="C91" s="56"/>
      <c r="D91" s="56"/>
      <c r="E91" s="56"/>
      <c r="F91" s="56"/>
      <c r="G91" s="56"/>
      <c r="H91" s="56"/>
      <c r="I91" s="56"/>
      <c r="J91" s="56"/>
      <c r="K91" s="56"/>
      <c r="L91" s="94"/>
      <c r="M91" s="95"/>
      <c r="N91" s="98"/>
      <c r="O91" s="42"/>
      <c r="P91" s="42"/>
      <c r="Q91" s="97"/>
      <c r="R91" s="97"/>
      <c r="S91" s="97"/>
    </row>
    <row r="92" spans="1:19" ht="108">
      <c r="A92" s="14" t="s">
        <v>113</v>
      </c>
      <c r="B92" s="61">
        <v>1105</v>
      </c>
      <c r="C92" s="56"/>
      <c r="D92" s="56"/>
      <c r="E92" s="56"/>
      <c r="F92" s="56"/>
      <c r="G92" s="56"/>
      <c r="H92" s="56"/>
      <c r="I92" s="56"/>
      <c r="J92" s="56"/>
      <c r="K92" s="56"/>
      <c r="L92" s="94"/>
      <c r="M92" s="95"/>
      <c r="N92" s="98"/>
      <c r="O92" s="42"/>
      <c r="P92" s="42"/>
      <c r="Q92" s="97"/>
      <c r="R92" s="97"/>
      <c r="S92" s="97"/>
    </row>
    <row r="93" spans="1:19" ht="72">
      <c r="A93" s="14" t="s">
        <v>114</v>
      </c>
      <c r="B93" s="61">
        <v>1106</v>
      </c>
      <c r="C93" s="56"/>
      <c r="D93" s="56"/>
      <c r="E93" s="56"/>
      <c r="F93" s="56"/>
      <c r="G93" s="56"/>
      <c r="H93" s="56"/>
      <c r="I93" s="56"/>
      <c r="J93" s="56"/>
      <c r="K93" s="56"/>
      <c r="L93" s="94"/>
      <c r="M93" s="95"/>
      <c r="N93" s="98"/>
      <c r="O93" s="42"/>
      <c r="P93" s="42"/>
      <c r="Q93" s="97"/>
      <c r="R93" s="97"/>
      <c r="S93" s="97"/>
    </row>
    <row r="94" spans="1:19" ht="84">
      <c r="A94" s="14" t="s">
        <v>115</v>
      </c>
      <c r="B94" s="61">
        <v>1107</v>
      </c>
      <c r="C94" s="56"/>
      <c r="D94" s="56"/>
      <c r="E94" s="56"/>
      <c r="F94" s="56"/>
      <c r="G94" s="56"/>
      <c r="H94" s="56"/>
      <c r="I94" s="56"/>
      <c r="J94" s="56"/>
      <c r="K94" s="56"/>
      <c r="L94" s="94"/>
      <c r="M94" s="95"/>
      <c r="N94" s="98"/>
      <c r="O94" s="42"/>
      <c r="P94" s="42"/>
      <c r="Q94" s="97"/>
      <c r="R94" s="97"/>
      <c r="S94" s="97"/>
    </row>
    <row r="95" spans="1:19" ht="36">
      <c r="A95" s="14" t="s">
        <v>116</v>
      </c>
      <c r="B95" s="61">
        <v>1108</v>
      </c>
      <c r="C95" s="56"/>
      <c r="D95" s="56"/>
      <c r="E95" s="56"/>
      <c r="F95" s="56"/>
      <c r="G95" s="56"/>
      <c r="H95" s="56"/>
      <c r="I95" s="56"/>
      <c r="J95" s="56"/>
      <c r="K95" s="56"/>
      <c r="L95" s="94"/>
      <c r="M95" s="95"/>
      <c r="N95" s="98"/>
      <c r="O95" s="42"/>
      <c r="P95" s="42"/>
      <c r="Q95" s="97"/>
      <c r="R95" s="97"/>
      <c r="S95" s="97"/>
    </row>
    <row r="96" spans="1:19" ht="48">
      <c r="A96" s="14" t="s">
        <v>117</v>
      </c>
      <c r="B96" s="61">
        <v>1109</v>
      </c>
      <c r="C96" s="56"/>
      <c r="D96" s="56"/>
      <c r="E96" s="56"/>
      <c r="F96" s="56"/>
      <c r="G96" s="56"/>
      <c r="H96" s="56"/>
      <c r="I96" s="56"/>
      <c r="J96" s="56"/>
      <c r="K96" s="56"/>
      <c r="L96" s="94"/>
      <c r="M96" s="95"/>
      <c r="N96" s="98"/>
      <c r="O96" s="42"/>
      <c r="P96" s="42"/>
      <c r="Q96" s="97"/>
      <c r="R96" s="97"/>
      <c r="S96" s="97"/>
    </row>
    <row r="97" spans="1:19" ht="132">
      <c r="A97" s="14" t="s">
        <v>118</v>
      </c>
      <c r="B97" s="61">
        <v>1110</v>
      </c>
      <c r="C97" s="56"/>
      <c r="D97" s="56"/>
      <c r="E97" s="56"/>
      <c r="F97" s="56"/>
      <c r="G97" s="56"/>
      <c r="H97" s="56"/>
      <c r="I97" s="56"/>
      <c r="J97" s="56"/>
      <c r="K97" s="56"/>
      <c r="L97" s="94"/>
      <c r="M97" s="95"/>
      <c r="N97" s="98"/>
      <c r="O97" s="42"/>
      <c r="P97" s="42"/>
      <c r="Q97" s="97"/>
      <c r="R97" s="97"/>
      <c r="S97" s="97"/>
    </row>
    <row r="98" spans="1:19" ht="132">
      <c r="A98" s="14" t="s">
        <v>119</v>
      </c>
      <c r="B98" s="61">
        <v>1111</v>
      </c>
      <c r="C98" s="9"/>
      <c r="D98" s="9"/>
      <c r="E98" s="9"/>
      <c r="F98" s="56"/>
      <c r="G98" s="56"/>
      <c r="H98" s="56"/>
      <c r="I98" s="56"/>
      <c r="J98" s="56"/>
      <c r="K98" s="56"/>
      <c r="L98" s="94"/>
      <c r="M98" s="95"/>
      <c r="N98" s="98"/>
      <c r="O98" s="42"/>
      <c r="P98" s="42"/>
      <c r="Q98" s="42"/>
      <c r="R98" s="42"/>
      <c r="S98" s="42"/>
    </row>
    <row r="99" spans="1:19" ht="132">
      <c r="A99" s="14" t="s">
        <v>120</v>
      </c>
      <c r="B99" s="61">
        <v>1112</v>
      </c>
      <c r="C99" s="56"/>
      <c r="D99" s="56"/>
      <c r="E99" s="56"/>
      <c r="F99" s="56"/>
      <c r="G99" s="56"/>
      <c r="H99" s="56"/>
      <c r="I99" s="56"/>
      <c r="J99" s="56"/>
      <c r="K99" s="56"/>
      <c r="L99" s="94"/>
      <c r="M99" s="95"/>
      <c r="N99" s="98"/>
      <c r="O99" s="42"/>
      <c r="P99" s="42"/>
      <c r="Q99" s="97"/>
      <c r="R99" s="97"/>
      <c r="S99" s="97"/>
    </row>
    <row r="100" spans="1:19" s="38" customFormat="1" ht="356.25" customHeight="1">
      <c r="A100" s="14" t="s">
        <v>121</v>
      </c>
      <c r="B100" s="62">
        <v>1113</v>
      </c>
      <c r="C100" s="12" t="s">
        <v>428</v>
      </c>
      <c r="D100" s="12" t="s">
        <v>429</v>
      </c>
      <c r="E100" s="12" t="s">
        <v>430</v>
      </c>
      <c r="F100" s="317"/>
      <c r="G100" s="317"/>
      <c r="H100" s="317"/>
      <c r="I100" s="32" t="s">
        <v>992</v>
      </c>
      <c r="J100" s="21" t="s">
        <v>993</v>
      </c>
      <c r="K100" s="21" t="s">
        <v>994</v>
      </c>
      <c r="L100" s="312" t="s">
        <v>312</v>
      </c>
      <c r="M100" s="313" t="s">
        <v>302</v>
      </c>
      <c r="N100" s="318">
        <v>5722.4</v>
      </c>
      <c r="O100" s="315">
        <v>5722.4</v>
      </c>
      <c r="P100" s="315">
        <v>5800</v>
      </c>
      <c r="Q100" s="316">
        <v>5800</v>
      </c>
      <c r="R100" s="316">
        <v>5800</v>
      </c>
      <c r="S100" s="316">
        <v>5800</v>
      </c>
    </row>
    <row r="101" spans="1:19" ht="36">
      <c r="A101" s="14" t="s">
        <v>122</v>
      </c>
      <c r="B101" s="61">
        <v>1114</v>
      </c>
      <c r="C101" s="56"/>
      <c r="D101" s="56"/>
      <c r="E101" s="56"/>
      <c r="F101" s="56"/>
      <c r="G101" s="56"/>
      <c r="H101" s="56"/>
      <c r="I101" s="56"/>
      <c r="J101" s="56"/>
      <c r="K101" s="56"/>
      <c r="L101" s="94"/>
      <c r="M101" s="95"/>
      <c r="N101" s="98"/>
      <c r="O101" s="42"/>
      <c r="P101" s="42"/>
      <c r="Q101" s="97"/>
      <c r="R101" s="97"/>
      <c r="S101" s="97"/>
    </row>
    <row r="102" spans="1:19" ht="180">
      <c r="A102" s="14" t="s">
        <v>123</v>
      </c>
      <c r="B102" s="61">
        <v>1115</v>
      </c>
      <c r="C102" s="9"/>
      <c r="D102" s="9"/>
      <c r="E102" s="9"/>
      <c r="F102" s="17"/>
      <c r="G102" s="17"/>
      <c r="H102" s="17"/>
      <c r="I102" s="17"/>
      <c r="J102" s="17"/>
      <c r="K102" s="17"/>
      <c r="L102" s="94"/>
      <c r="M102" s="95"/>
      <c r="N102" s="98"/>
      <c r="O102" s="42"/>
      <c r="P102" s="42"/>
      <c r="Q102" s="97"/>
      <c r="R102" s="97"/>
      <c r="S102" s="97"/>
    </row>
    <row r="103" spans="1:19" ht="144">
      <c r="A103" s="14" t="s">
        <v>124</v>
      </c>
      <c r="B103" s="61">
        <v>1116</v>
      </c>
      <c r="C103" s="56"/>
      <c r="D103" s="56"/>
      <c r="E103" s="56"/>
      <c r="F103" s="56"/>
      <c r="G103" s="56"/>
      <c r="H103" s="56"/>
      <c r="I103" s="56"/>
      <c r="J103" s="56"/>
      <c r="K103" s="56"/>
      <c r="L103" s="94"/>
      <c r="M103" s="95"/>
      <c r="N103" s="98"/>
      <c r="O103" s="42"/>
      <c r="P103" s="42"/>
      <c r="Q103" s="97"/>
      <c r="R103" s="97"/>
      <c r="S103" s="97"/>
    </row>
    <row r="104" spans="1:19" ht="12">
      <c r="A104" s="14" t="s">
        <v>13</v>
      </c>
      <c r="B104" s="61">
        <v>1117</v>
      </c>
      <c r="C104" s="17"/>
      <c r="D104" s="23"/>
      <c r="E104" s="23"/>
      <c r="F104" s="17"/>
      <c r="G104" s="23"/>
      <c r="H104" s="23"/>
      <c r="I104" s="23"/>
      <c r="J104" s="23"/>
      <c r="K104" s="23"/>
      <c r="L104" s="94"/>
      <c r="M104" s="95"/>
      <c r="N104" s="98"/>
      <c r="O104" s="42"/>
      <c r="P104" s="42"/>
      <c r="Q104" s="97"/>
      <c r="R104" s="97"/>
      <c r="S104" s="97"/>
    </row>
    <row r="105" spans="1:19" ht="12">
      <c r="A105" s="14" t="s">
        <v>13</v>
      </c>
      <c r="B105" s="61">
        <v>1118</v>
      </c>
      <c r="C105" s="17"/>
      <c r="D105" s="23"/>
      <c r="E105" s="23"/>
      <c r="F105" s="17"/>
      <c r="G105" s="23"/>
      <c r="H105" s="23"/>
      <c r="I105" s="23"/>
      <c r="J105" s="23"/>
      <c r="K105" s="23"/>
      <c r="L105" s="94"/>
      <c r="M105" s="95"/>
      <c r="N105" s="98"/>
      <c r="O105" s="42"/>
      <c r="P105" s="42"/>
      <c r="Q105" s="97"/>
      <c r="R105" s="97"/>
      <c r="S105" s="97"/>
    </row>
    <row r="106" spans="1:19" ht="108">
      <c r="A106" s="35" t="s">
        <v>138</v>
      </c>
      <c r="B106" s="64" t="s">
        <v>18</v>
      </c>
      <c r="C106" s="57" t="s">
        <v>12</v>
      </c>
      <c r="D106" s="58" t="s">
        <v>12</v>
      </c>
      <c r="E106" s="58" t="s">
        <v>12</v>
      </c>
      <c r="F106" s="57" t="s">
        <v>12</v>
      </c>
      <c r="G106" s="58" t="s">
        <v>12</v>
      </c>
      <c r="H106" s="58" t="s">
        <v>12</v>
      </c>
      <c r="I106" s="58"/>
      <c r="J106" s="58"/>
      <c r="K106" s="58"/>
      <c r="L106" s="102" t="s">
        <v>12</v>
      </c>
      <c r="M106" s="93" t="s">
        <v>12</v>
      </c>
      <c r="N106" s="44">
        <f aca="true" t="shared" si="3" ref="N106:S106">N107+N119+N122</f>
        <v>572.12</v>
      </c>
      <c r="O106" s="44">
        <f t="shared" si="3"/>
        <v>542</v>
      </c>
      <c r="P106" s="44">
        <f t="shared" si="3"/>
        <v>260</v>
      </c>
      <c r="Q106" s="103">
        <f t="shared" si="3"/>
        <v>0</v>
      </c>
      <c r="R106" s="103">
        <f t="shared" si="3"/>
        <v>260</v>
      </c>
      <c r="S106" s="103">
        <f t="shared" si="3"/>
        <v>260</v>
      </c>
    </row>
    <row r="107" spans="1:19" ht="60">
      <c r="A107" s="14" t="s">
        <v>136</v>
      </c>
      <c r="B107" s="65">
        <v>1201</v>
      </c>
      <c r="C107" s="57" t="s">
        <v>12</v>
      </c>
      <c r="D107" s="58" t="s">
        <v>12</v>
      </c>
      <c r="E107" s="58" t="s">
        <v>12</v>
      </c>
      <c r="F107" s="57" t="s">
        <v>12</v>
      </c>
      <c r="G107" s="58" t="s">
        <v>12</v>
      </c>
      <c r="H107" s="58" t="s">
        <v>12</v>
      </c>
      <c r="I107" s="73"/>
      <c r="J107" s="73"/>
      <c r="K107" s="73"/>
      <c r="L107" s="102" t="s">
        <v>12</v>
      </c>
      <c r="M107" s="93" t="s">
        <v>12</v>
      </c>
      <c r="N107" s="44">
        <f aca="true" t="shared" si="4" ref="N107:S107">SUM(N108:N118)</f>
        <v>572.12</v>
      </c>
      <c r="O107" s="44">
        <f t="shared" si="4"/>
        <v>542</v>
      </c>
      <c r="P107" s="44">
        <f t="shared" si="4"/>
        <v>260</v>
      </c>
      <c r="Q107" s="103">
        <f t="shared" si="4"/>
        <v>0</v>
      </c>
      <c r="R107" s="103">
        <f t="shared" si="4"/>
        <v>260</v>
      </c>
      <c r="S107" s="103">
        <f t="shared" si="4"/>
        <v>260</v>
      </c>
    </row>
    <row r="108" spans="1:19" ht="12">
      <c r="A108" s="14" t="s">
        <v>125</v>
      </c>
      <c r="B108" s="61">
        <v>1202</v>
      </c>
      <c r="C108" s="13"/>
      <c r="D108" s="13"/>
      <c r="E108" s="13"/>
      <c r="F108" s="13"/>
      <c r="G108" s="19"/>
      <c r="H108" s="53"/>
      <c r="I108" s="13"/>
      <c r="J108" s="13"/>
      <c r="K108" s="13"/>
      <c r="L108" s="94"/>
      <c r="M108" s="95"/>
      <c r="N108" s="96"/>
      <c r="O108" s="42"/>
      <c r="P108" s="42"/>
      <c r="Q108" s="97"/>
      <c r="R108" s="97"/>
      <c r="S108" s="97"/>
    </row>
    <row r="109" spans="1:19" ht="24">
      <c r="A109" s="14" t="s">
        <v>126</v>
      </c>
      <c r="B109" s="61">
        <v>1203</v>
      </c>
      <c r="C109" s="56"/>
      <c r="D109" s="56"/>
      <c r="E109" s="56"/>
      <c r="F109" s="56"/>
      <c r="G109" s="56"/>
      <c r="H109" s="56"/>
      <c r="I109" s="56"/>
      <c r="J109" s="56"/>
      <c r="K109" s="56"/>
      <c r="L109" s="94"/>
      <c r="M109" s="95"/>
      <c r="N109" s="98"/>
      <c r="O109" s="42"/>
      <c r="P109" s="42"/>
      <c r="Q109" s="97"/>
      <c r="R109" s="97"/>
      <c r="S109" s="97"/>
    </row>
    <row r="110" spans="1:19" ht="48">
      <c r="A110" s="14" t="s">
        <v>127</v>
      </c>
      <c r="B110" s="61">
        <v>1204</v>
      </c>
      <c r="C110" s="56"/>
      <c r="D110" s="56"/>
      <c r="E110" s="56"/>
      <c r="F110" s="56"/>
      <c r="G110" s="56"/>
      <c r="H110" s="56"/>
      <c r="I110" s="56"/>
      <c r="J110" s="56"/>
      <c r="K110" s="56"/>
      <c r="L110" s="94"/>
      <c r="M110" s="95"/>
      <c r="N110" s="98"/>
      <c r="O110" s="42"/>
      <c r="P110" s="42"/>
      <c r="Q110" s="97"/>
      <c r="R110" s="97"/>
      <c r="S110" s="97"/>
    </row>
    <row r="111" spans="1:19" ht="60">
      <c r="A111" s="14" t="s">
        <v>128</v>
      </c>
      <c r="B111" s="61">
        <v>1205</v>
      </c>
      <c r="C111" s="56"/>
      <c r="D111" s="56"/>
      <c r="E111" s="56"/>
      <c r="F111" s="56"/>
      <c r="G111" s="56"/>
      <c r="H111" s="56"/>
      <c r="I111" s="56"/>
      <c r="J111" s="56"/>
      <c r="K111" s="56"/>
      <c r="L111" s="94"/>
      <c r="M111" s="95"/>
      <c r="N111" s="98"/>
      <c r="O111" s="42"/>
      <c r="P111" s="42"/>
      <c r="Q111" s="97"/>
      <c r="R111" s="97"/>
      <c r="S111" s="97"/>
    </row>
    <row r="112" spans="1:19" ht="60">
      <c r="A112" s="14" t="s">
        <v>129</v>
      </c>
      <c r="B112" s="61">
        <v>1206</v>
      </c>
      <c r="C112" s="56"/>
      <c r="D112" s="56"/>
      <c r="E112" s="56"/>
      <c r="F112" s="56"/>
      <c r="G112" s="56"/>
      <c r="H112" s="56"/>
      <c r="I112" s="56"/>
      <c r="J112" s="56"/>
      <c r="K112" s="56"/>
      <c r="L112" s="94"/>
      <c r="M112" s="95"/>
      <c r="N112" s="98"/>
      <c r="O112" s="42"/>
      <c r="P112" s="42"/>
      <c r="Q112" s="97"/>
      <c r="R112" s="97"/>
      <c r="S112" s="97"/>
    </row>
    <row r="113" spans="1:19" s="38" customFormat="1" ht="150" customHeight="1">
      <c r="A113" s="14" t="s">
        <v>130</v>
      </c>
      <c r="B113" s="62">
        <v>1207</v>
      </c>
      <c r="C113" s="21" t="s">
        <v>995</v>
      </c>
      <c r="D113" s="21" t="s">
        <v>996</v>
      </c>
      <c r="E113" s="21" t="s">
        <v>997</v>
      </c>
      <c r="F113" s="21" t="s">
        <v>998</v>
      </c>
      <c r="G113" s="21" t="s">
        <v>999</v>
      </c>
      <c r="H113" s="21" t="s">
        <v>1000</v>
      </c>
      <c r="I113" s="21" t="s">
        <v>1001</v>
      </c>
      <c r="J113" s="21" t="s">
        <v>1002</v>
      </c>
      <c r="K113" s="21" t="s">
        <v>1003</v>
      </c>
      <c r="L113" s="312" t="s">
        <v>300</v>
      </c>
      <c r="M113" s="313" t="s">
        <v>312</v>
      </c>
      <c r="N113" s="314">
        <v>572.12</v>
      </c>
      <c r="O113" s="315">
        <v>542</v>
      </c>
      <c r="P113" s="315">
        <v>260</v>
      </c>
      <c r="Q113" s="316">
        <v>0</v>
      </c>
      <c r="R113" s="316">
        <v>260</v>
      </c>
      <c r="S113" s="316">
        <v>260</v>
      </c>
    </row>
    <row r="114" spans="1:19" ht="72">
      <c r="A114" s="14" t="s">
        <v>131</v>
      </c>
      <c r="B114" s="61">
        <v>1208</v>
      </c>
      <c r="C114" s="75"/>
      <c r="D114" s="75"/>
      <c r="E114" s="75"/>
      <c r="F114" s="56"/>
      <c r="G114" s="56"/>
      <c r="H114" s="56"/>
      <c r="I114" s="75"/>
      <c r="J114" s="75"/>
      <c r="K114" s="75"/>
      <c r="L114" s="94"/>
      <c r="M114" s="95"/>
      <c r="N114" s="98"/>
      <c r="O114" s="42"/>
      <c r="P114" s="42"/>
      <c r="Q114" s="97"/>
      <c r="R114" s="97"/>
      <c r="S114" s="97"/>
    </row>
    <row r="115" spans="1:19" ht="84">
      <c r="A115" s="14" t="s">
        <v>132</v>
      </c>
      <c r="B115" s="61">
        <v>1209</v>
      </c>
      <c r="C115" s="21"/>
      <c r="D115" s="76"/>
      <c r="E115" s="76"/>
      <c r="F115" s="74"/>
      <c r="G115" s="56"/>
      <c r="H115" s="77"/>
      <c r="I115" s="13"/>
      <c r="J115" s="13"/>
      <c r="K115" s="13"/>
      <c r="L115" s="94"/>
      <c r="M115" s="95"/>
      <c r="N115" s="98"/>
      <c r="O115" s="42"/>
      <c r="P115" s="42"/>
      <c r="Q115" s="97"/>
      <c r="R115" s="97"/>
      <c r="S115" s="97"/>
    </row>
    <row r="116" spans="1:19" ht="36">
      <c r="A116" s="14" t="s">
        <v>133</v>
      </c>
      <c r="B116" s="61">
        <v>1210</v>
      </c>
      <c r="C116" s="56"/>
      <c r="D116" s="56"/>
      <c r="E116" s="56"/>
      <c r="F116" s="56"/>
      <c r="G116" s="56"/>
      <c r="H116" s="77"/>
      <c r="I116" s="13"/>
      <c r="J116" s="19"/>
      <c r="K116" s="13"/>
      <c r="L116" s="94"/>
      <c r="M116" s="95"/>
      <c r="N116" s="98"/>
      <c r="O116" s="42"/>
      <c r="P116" s="42"/>
      <c r="Q116" s="97"/>
      <c r="R116" s="97"/>
      <c r="S116" s="97"/>
    </row>
    <row r="117" spans="1:19" ht="60">
      <c r="A117" s="14" t="s">
        <v>134</v>
      </c>
      <c r="B117" s="61">
        <v>1211</v>
      </c>
      <c r="C117" s="56"/>
      <c r="D117" s="56"/>
      <c r="E117" s="56"/>
      <c r="F117" s="56"/>
      <c r="G117" s="56"/>
      <c r="H117" s="56"/>
      <c r="I117" s="78"/>
      <c r="J117" s="78"/>
      <c r="K117" s="78"/>
      <c r="L117" s="94"/>
      <c r="M117" s="95"/>
      <c r="N117" s="98"/>
      <c r="O117" s="42"/>
      <c r="P117" s="42"/>
      <c r="Q117" s="97"/>
      <c r="R117" s="97"/>
      <c r="S117" s="97"/>
    </row>
    <row r="118" spans="1:19" ht="60">
      <c r="A118" s="14" t="s">
        <v>135</v>
      </c>
      <c r="B118" s="61">
        <v>1212</v>
      </c>
      <c r="C118" s="56"/>
      <c r="D118" s="56"/>
      <c r="E118" s="56"/>
      <c r="F118" s="56"/>
      <c r="G118" s="56"/>
      <c r="H118" s="56"/>
      <c r="I118" s="56"/>
      <c r="J118" s="56"/>
      <c r="K118" s="56"/>
      <c r="L118" s="94"/>
      <c r="M118" s="95"/>
      <c r="N118" s="98"/>
      <c r="O118" s="42"/>
      <c r="P118" s="42"/>
      <c r="Q118" s="97"/>
      <c r="R118" s="97"/>
      <c r="S118" s="97"/>
    </row>
    <row r="119" spans="1:19" ht="108">
      <c r="A119" s="35" t="s">
        <v>137</v>
      </c>
      <c r="B119" s="65">
        <v>1300</v>
      </c>
      <c r="C119" s="57" t="s">
        <v>12</v>
      </c>
      <c r="D119" s="58" t="s">
        <v>12</v>
      </c>
      <c r="E119" s="58" t="s">
        <v>12</v>
      </c>
      <c r="F119" s="57" t="s">
        <v>12</v>
      </c>
      <c r="G119" s="58" t="s">
        <v>12</v>
      </c>
      <c r="H119" s="58" t="s">
        <v>12</v>
      </c>
      <c r="I119" s="58"/>
      <c r="J119" s="58"/>
      <c r="K119" s="58"/>
      <c r="L119" s="102" t="s">
        <v>12</v>
      </c>
      <c r="M119" s="93" t="s">
        <v>12</v>
      </c>
      <c r="N119" s="44">
        <f aca="true" t="shared" si="5" ref="N119:S119">SUM(N120:N121)</f>
        <v>0</v>
      </c>
      <c r="O119" s="44">
        <f t="shared" si="5"/>
        <v>0</v>
      </c>
      <c r="P119" s="44">
        <f t="shared" si="5"/>
        <v>0</v>
      </c>
      <c r="Q119" s="44">
        <f t="shared" si="5"/>
        <v>0</v>
      </c>
      <c r="R119" s="44">
        <f t="shared" si="5"/>
        <v>0</v>
      </c>
      <c r="S119" s="44">
        <f t="shared" si="5"/>
        <v>0</v>
      </c>
    </row>
    <row r="120" spans="1:19" ht="12">
      <c r="A120" s="14" t="s">
        <v>13</v>
      </c>
      <c r="B120" s="61">
        <v>1301</v>
      </c>
      <c r="C120" s="17"/>
      <c r="D120" s="23"/>
      <c r="E120" s="23"/>
      <c r="F120" s="17"/>
      <c r="G120" s="23"/>
      <c r="H120" s="23"/>
      <c r="I120" s="23"/>
      <c r="J120" s="23"/>
      <c r="K120" s="23"/>
      <c r="L120" s="94"/>
      <c r="M120" s="95"/>
      <c r="N120" s="42"/>
      <c r="O120" s="42"/>
      <c r="P120" s="42"/>
      <c r="Q120" s="97"/>
      <c r="R120" s="97"/>
      <c r="S120" s="97"/>
    </row>
    <row r="121" spans="1:19" ht="12">
      <c r="A121" s="14" t="s">
        <v>13</v>
      </c>
      <c r="B121" s="61">
        <v>1302</v>
      </c>
      <c r="C121" s="17"/>
      <c r="D121" s="23"/>
      <c r="E121" s="23"/>
      <c r="F121" s="17"/>
      <c r="G121" s="23"/>
      <c r="H121" s="23"/>
      <c r="I121" s="23"/>
      <c r="J121" s="23"/>
      <c r="K121" s="23"/>
      <c r="L121" s="94"/>
      <c r="M121" s="95"/>
      <c r="N121" s="42"/>
      <c r="O121" s="42"/>
      <c r="P121" s="42"/>
      <c r="Q121" s="97"/>
      <c r="R121" s="97"/>
      <c r="S121" s="97"/>
    </row>
    <row r="122" spans="1:19" ht="96">
      <c r="A122" s="35" t="s">
        <v>139</v>
      </c>
      <c r="B122" s="65">
        <v>1400</v>
      </c>
      <c r="C122" s="57" t="s">
        <v>12</v>
      </c>
      <c r="D122" s="58" t="s">
        <v>12</v>
      </c>
      <c r="E122" s="58" t="s">
        <v>12</v>
      </c>
      <c r="F122" s="57" t="s">
        <v>12</v>
      </c>
      <c r="G122" s="58" t="s">
        <v>12</v>
      </c>
      <c r="H122" s="58" t="s">
        <v>12</v>
      </c>
      <c r="I122" s="58"/>
      <c r="J122" s="58"/>
      <c r="K122" s="58"/>
      <c r="L122" s="102" t="s">
        <v>12</v>
      </c>
      <c r="M122" s="93" t="s">
        <v>12</v>
      </c>
      <c r="N122" s="44">
        <f aca="true" t="shared" si="6" ref="N122:S122">SUM(N123:N124)</f>
        <v>0</v>
      </c>
      <c r="O122" s="44">
        <f t="shared" si="6"/>
        <v>0</v>
      </c>
      <c r="P122" s="44">
        <f t="shared" si="6"/>
        <v>0</v>
      </c>
      <c r="Q122" s="44">
        <f t="shared" si="6"/>
        <v>0</v>
      </c>
      <c r="R122" s="44">
        <f t="shared" si="6"/>
        <v>0</v>
      </c>
      <c r="S122" s="44">
        <f t="shared" si="6"/>
        <v>0</v>
      </c>
    </row>
    <row r="123" spans="1:19" ht="12">
      <c r="A123" s="14" t="s">
        <v>13</v>
      </c>
      <c r="B123" s="61">
        <v>1401</v>
      </c>
      <c r="C123" s="17"/>
      <c r="D123" s="23"/>
      <c r="E123" s="23"/>
      <c r="F123" s="17"/>
      <c r="G123" s="23"/>
      <c r="H123" s="23"/>
      <c r="I123" s="23"/>
      <c r="J123" s="23"/>
      <c r="K123" s="23"/>
      <c r="L123" s="94"/>
      <c r="M123" s="95"/>
      <c r="N123" s="42"/>
      <c r="O123" s="42"/>
      <c r="P123" s="42"/>
      <c r="Q123" s="97"/>
      <c r="R123" s="97"/>
      <c r="S123" s="97"/>
    </row>
    <row r="124" spans="1:19" ht="12">
      <c r="A124" s="14" t="s">
        <v>13</v>
      </c>
      <c r="B124" s="61">
        <v>1402</v>
      </c>
      <c r="C124" s="17"/>
      <c r="D124" s="23"/>
      <c r="E124" s="23"/>
      <c r="F124" s="17"/>
      <c r="G124" s="23"/>
      <c r="H124" s="23"/>
      <c r="I124" s="23"/>
      <c r="J124" s="23"/>
      <c r="K124" s="23"/>
      <c r="L124" s="94"/>
      <c r="M124" s="95"/>
      <c r="N124" s="42"/>
      <c r="O124" s="42"/>
      <c r="P124" s="42"/>
      <c r="Q124" s="97"/>
      <c r="R124" s="97"/>
      <c r="S124" s="97"/>
    </row>
    <row r="125" spans="1:19" ht="144">
      <c r="A125" s="35" t="s">
        <v>19</v>
      </c>
      <c r="B125" s="65">
        <v>1500</v>
      </c>
      <c r="C125" s="57" t="s">
        <v>12</v>
      </c>
      <c r="D125" s="58" t="s">
        <v>12</v>
      </c>
      <c r="E125" s="58" t="s">
        <v>12</v>
      </c>
      <c r="F125" s="57" t="s">
        <v>12</v>
      </c>
      <c r="G125" s="58" t="s">
        <v>12</v>
      </c>
      <c r="H125" s="58" t="s">
        <v>12</v>
      </c>
      <c r="I125" s="58"/>
      <c r="J125" s="58"/>
      <c r="K125" s="58"/>
      <c r="L125" s="102" t="s">
        <v>12</v>
      </c>
      <c r="M125" s="93" t="s">
        <v>12</v>
      </c>
      <c r="N125" s="44">
        <f aca="true" t="shared" si="7" ref="N125:S125">N126+N133</f>
        <v>10992.9</v>
      </c>
      <c r="O125" s="44">
        <f t="shared" si="7"/>
        <v>10380.8</v>
      </c>
      <c r="P125" s="44">
        <f t="shared" si="7"/>
        <v>2587</v>
      </c>
      <c r="Q125" s="103">
        <f t="shared" si="7"/>
        <v>17</v>
      </c>
      <c r="R125" s="103">
        <f t="shared" si="7"/>
        <v>17</v>
      </c>
      <c r="S125" s="103">
        <f t="shared" si="7"/>
        <v>17</v>
      </c>
    </row>
    <row r="126" spans="1:19" ht="48">
      <c r="A126" s="35" t="s">
        <v>140</v>
      </c>
      <c r="B126" s="65">
        <v>1501</v>
      </c>
      <c r="C126" s="57" t="s">
        <v>12</v>
      </c>
      <c r="D126" s="58" t="s">
        <v>12</v>
      </c>
      <c r="E126" s="58" t="s">
        <v>12</v>
      </c>
      <c r="F126" s="57" t="s">
        <v>12</v>
      </c>
      <c r="G126" s="58" t="s">
        <v>12</v>
      </c>
      <c r="H126" s="58" t="s">
        <v>12</v>
      </c>
      <c r="I126" s="58"/>
      <c r="J126" s="58"/>
      <c r="K126" s="58"/>
      <c r="L126" s="102" t="s">
        <v>12</v>
      </c>
      <c r="M126" s="93" t="s">
        <v>12</v>
      </c>
      <c r="N126" s="44">
        <f aca="true" t="shared" si="8" ref="N126:S126">N127+N129</f>
        <v>10992.9</v>
      </c>
      <c r="O126" s="44">
        <f t="shared" si="8"/>
        <v>10380.8</v>
      </c>
      <c r="P126" s="44">
        <f t="shared" si="8"/>
        <v>2587</v>
      </c>
      <c r="Q126" s="44">
        <f t="shared" si="8"/>
        <v>17</v>
      </c>
      <c r="R126" s="44">
        <f t="shared" si="8"/>
        <v>17</v>
      </c>
      <c r="S126" s="44">
        <f t="shared" si="8"/>
        <v>17</v>
      </c>
    </row>
    <row r="127" spans="1:19" ht="60">
      <c r="A127" s="14" t="s">
        <v>792</v>
      </c>
      <c r="B127" s="61">
        <v>1593</v>
      </c>
      <c r="C127" s="30"/>
      <c r="D127" s="30"/>
      <c r="E127" s="30"/>
      <c r="F127" s="30"/>
      <c r="G127" s="31"/>
      <c r="H127" s="31"/>
      <c r="I127" s="31"/>
      <c r="J127" s="31"/>
      <c r="K127" s="31"/>
      <c r="L127" s="94"/>
      <c r="M127" s="95"/>
      <c r="N127" s="42">
        <f aca="true" t="shared" si="9" ref="N127:S127">SUM(N128:N128)</f>
        <v>17</v>
      </c>
      <c r="O127" s="42">
        <f t="shared" si="9"/>
        <v>16.9</v>
      </c>
      <c r="P127" s="42">
        <f t="shared" si="9"/>
        <v>16.9</v>
      </c>
      <c r="Q127" s="42">
        <f t="shared" si="9"/>
        <v>17</v>
      </c>
      <c r="R127" s="42">
        <f t="shared" si="9"/>
        <v>17</v>
      </c>
      <c r="S127" s="42">
        <f t="shared" si="9"/>
        <v>17</v>
      </c>
    </row>
    <row r="128" spans="1:19" s="111" customFormat="1" ht="398.25" customHeight="1">
      <c r="A128" s="35" t="s">
        <v>142</v>
      </c>
      <c r="B128" s="104">
        <v>1593</v>
      </c>
      <c r="C128" s="105" t="s">
        <v>436</v>
      </c>
      <c r="D128" s="105" t="s">
        <v>437</v>
      </c>
      <c r="E128" s="105" t="s">
        <v>358</v>
      </c>
      <c r="F128" s="105" t="s">
        <v>438</v>
      </c>
      <c r="G128" s="105" t="s">
        <v>439</v>
      </c>
      <c r="H128" s="105" t="s">
        <v>440</v>
      </c>
      <c r="I128" s="106" t="s">
        <v>874</v>
      </c>
      <c r="J128" s="106" t="s">
        <v>877</v>
      </c>
      <c r="K128" s="106" t="s">
        <v>878</v>
      </c>
      <c r="L128" s="107" t="s">
        <v>303</v>
      </c>
      <c r="M128" s="108" t="s">
        <v>306</v>
      </c>
      <c r="N128" s="109">
        <v>17</v>
      </c>
      <c r="O128" s="109">
        <f>16.9</f>
        <v>16.9</v>
      </c>
      <c r="P128" s="109">
        <v>16.9</v>
      </c>
      <c r="Q128" s="110">
        <v>17</v>
      </c>
      <c r="R128" s="110">
        <v>17</v>
      </c>
      <c r="S128" s="110">
        <v>17</v>
      </c>
    </row>
    <row r="129" spans="1:19" ht="180">
      <c r="A129" s="39" t="s">
        <v>793</v>
      </c>
      <c r="B129" s="61">
        <v>1594</v>
      </c>
      <c r="C129" s="30"/>
      <c r="D129" s="30"/>
      <c r="E129" s="30"/>
      <c r="F129" s="30"/>
      <c r="G129" s="31"/>
      <c r="H129" s="31"/>
      <c r="I129" s="31"/>
      <c r="J129" s="31"/>
      <c r="K129" s="31"/>
      <c r="L129" s="94"/>
      <c r="M129" s="95"/>
      <c r="N129" s="42">
        <f aca="true" t="shared" si="10" ref="N129:S129">SUM(N130:N131)</f>
        <v>10975.9</v>
      </c>
      <c r="O129" s="42">
        <f t="shared" si="10"/>
        <v>10363.9</v>
      </c>
      <c r="P129" s="42">
        <f t="shared" si="10"/>
        <v>2570.1</v>
      </c>
      <c r="Q129" s="42">
        <f t="shared" si="10"/>
        <v>0</v>
      </c>
      <c r="R129" s="42">
        <f t="shared" si="10"/>
        <v>0</v>
      </c>
      <c r="S129" s="42">
        <f t="shared" si="10"/>
        <v>0</v>
      </c>
    </row>
    <row r="130" spans="1:19" s="111" customFormat="1" ht="144">
      <c r="A130" s="35" t="s">
        <v>167</v>
      </c>
      <c r="B130" s="104">
        <v>1594</v>
      </c>
      <c r="C130" s="112" t="s">
        <v>520</v>
      </c>
      <c r="D130" s="113" t="s">
        <v>521</v>
      </c>
      <c r="E130" s="113" t="s">
        <v>522</v>
      </c>
      <c r="F130" s="112"/>
      <c r="G130" s="114"/>
      <c r="H130" s="114"/>
      <c r="I130" s="114"/>
      <c r="J130" s="114"/>
      <c r="K130" s="114"/>
      <c r="L130" s="107" t="s">
        <v>297</v>
      </c>
      <c r="M130" s="108" t="s">
        <v>298</v>
      </c>
      <c r="N130" s="110">
        <f>9752</f>
        <v>9752</v>
      </c>
      <c r="O130" s="109">
        <v>9752</v>
      </c>
      <c r="P130" s="109">
        <f>1285.1</f>
        <v>1285.1</v>
      </c>
      <c r="Q130" s="110">
        <v>0</v>
      </c>
      <c r="R130" s="110">
        <v>0</v>
      </c>
      <c r="S130" s="110">
        <v>0</v>
      </c>
    </row>
    <row r="131" spans="1:19" s="111" customFormat="1" ht="144">
      <c r="A131" s="35" t="s">
        <v>168</v>
      </c>
      <c r="B131" s="104">
        <v>1594</v>
      </c>
      <c r="C131" s="112" t="s">
        <v>523</v>
      </c>
      <c r="D131" s="113" t="s">
        <v>524</v>
      </c>
      <c r="E131" s="113" t="s">
        <v>525</v>
      </c>
      <c r="F131" s="112"/>
      <c r="G131" s="114"/>
      <c r="H131" s="114"/>
      <c r="I131" s="114"/>
      <c r="J131" s="114"/>
      <c r="K131" s="114"/>
      <c r="L131" s="107" t="s">
        <v>297</v>
      </c>
      <c r="M131" s="108" t="s">
        <v>298</v>
      </c>
      <c r="N131" s="110">
        <f>1223.9</f>
        <v>1223.9</v>
      </c>
      <c r="O131" s="109">
        <v>611.9</v>
      </c>
      <c r="P131" s="109">
        <f>1285</f>
        <v>1285</v>
      </c>
      <c r="Q131" s="110">
        <v>0</v>
      </c>
      <c r="R131" s="110">
        <v>0</v>
      </c>
      <c r="S131" s="110">
        <v>0</v>
      </c>
    </row>
    <row r="132" spans="1:19" ht="12">
      <c r="A132" s="14" t="s">
        <v>13</v>
      </c>
      <c r="B132" s="61"/>
      <c r="C132" s="17"/>
      <c r="D132" s="23"/>
      <c r="E132" s="23"/>
      <c r="F132" s="17"/>
      <c r="G132" s="23"/>
      <c r="H132" s="23"/>
      <c r="I132" s="23"/>
      <c r="J132" s="23"/>
      <c r="K132" s="23"/>
      <c r="L132" s="94"/>
      <c r="M132" s="95"/>
      <c r="N132" s="42"/>
      <c r="O132" s="42"/>
      <c r="P132" s="42"/>
      <c r="Q132" s="97"/>
      <c r="R132" s="97"/>
      <c r="S132" s="97"/>
    </row>
    <row r="133" spans="1:19" ht="48">
      <c r="A133" s="35" t="s">
        <v>173</v>
      </c>
      <c r="B133" s="65">
        <v>1600</v>
      </c>
      <c r="C133" s="57" t="s">
        <v>12</v>
      </c>
      <c r="D133" s="58" t="s">
        <v>12</v>
      </c>
      <c r="E133" s="58" t="s">
        <v>12</v>
      </c>
      <c r="F133" s="57" t="s">
        <v>12</v>
      </c>
      <c r="G133" s="58" t="s">
        <v>12</v>
      </c>
      <c r="H133" s="58" t="s">
        <v>12</v>
      </c>
      <c r="I133" s="58"/>
      <c r="J133" s="58"/>
      <c r="K133" s="58"/>
      <c r="L133" s="102" t="s">
        <v>12</v>
      </c>
      <c r="M133" s="93" t="s">
        <v>12</v>
      </c>
      <c r="N133" s="44">
        <f aca="true" t="shared" si="11" ref="N133:S133">SUM(N134:N135)</f>
        <v>0</v>
      </c>
      <c r="O133" s="44">
        <f t="shared" si="11"/>
        <v>0</v>
      </c>
      <c r="P133" s="44">
        <f t="shared" si="11"/>
        <v>0</v>
      </c>
      <c r="Q133" s="103">
        <f t="shared" si="11"/>
        <v>0</v>
      </c>
      <c r="R133" s="103">
        <f t="shared" si="11"/>
        <v>0</v>
      </c>
      <c r="S133" s="103">
        <f t="shared" si="11"/>
        <v>0</v>
      </c>
    </row>
    <row r="134" spans="1:19" ht="12">
      <c r="A134" s="14" t="s">
        <v>13</v>
      </c>
      <c r="B134" s="61">
        <v>1601</v>
      </c>
      <c r="C134" s="17"/>
      <c r="D134" s="23"/>
      <c r="E134" s="23"/>
      <c r="F134" s="17"/>
      <c r="G134" s="23"/>
      <c r="H134" s="23"/>
      <c r="I134" s="23"/>
      <c r="J134" s="23"/>
      <c r="K134" s="23"/>
      <c r="L134" s="94"/>
      <c r="M134" s="95"/>
      <c r="N134" s="42"/>
      <c r="O134" s="42"/>
      <c r="P134" s="42"/>
      <c r="Q134" s="97"/>
      <c r="R134" s="97"/>
      <c r="S134" s="97"/>
    </row>
    <row r="135" spans="1:19" ht="12">
      <c r="A135" s="14" t="s">
        <v>13</v>
      </c>
      <c r="B135" s="61">
        <v>1602</v>
      </c>
      <c r="C135" s="17"/>
      <c r="D135" s="23"/>
      <c r="E135" s="23"/>
      <c r="F135" s="17"/>
      <c r="G135" s="23"/>
      <c r="H135" s="23"/>
      <c r="I135" s="23"/>
      <c r="J135" s="23"/>
      <c r="K135" s="23"/>
      <c r="L135" s="94"/>
      <c r="M135" s="95"/>
      <c r="N135" s="42"/>
      <c r="O135" s="42"/>
      <c r="P135" s="42"/>
      <c r="Q135" s="97"/>
      <c r="R135" s="97"/>
      <c r="S135" s="97"/>
    </row>
    <row r="136" spans="1:19" ht="108">
      <c r="A136" s="35" t="s">
        <v>20</v>
      </c>
      <c r="B136" s="65">
        <v>1700</v>
      </c>
      <c r="C136" s="57" t="s">
        <v>12</v>
      </c>
      <c r="D136" s="58" t="s">
        <v>12</v>
      </c>
      <c r="E136" s="58" t="s">
        <v>12</v>
      </c>
      <c r="F136" s="57" t="s">
        <v>12</v>
      </c>
      <c r="G136" s="58" t="s">
        <v>12</v>
      </c>
      <c r="H136" s="58" t="s">
        <v>12</v>
      </c>
      <c r="I136" s="58"/>
      <c r="J136" s="58"/>
      <c r="K136" s="58"/>
      <c r="L136" s="102" t="s">
        <v>12</v>
      </c>
      <c r="M136" s="93" t="s">
        <v>12</v>
      </c>
      <c r="N136" s="44">
        <f aca="true" t="shared" si="12" ref="N136:S136">N137+N138+N139+N142</f>
        <v>166020.3</v>
      </c>
      <c r="O136" s="44">
        <f t="shared" si="12"/>
        <v>165949.3</v>
      </c>
      <c r="P136" s="44">
        <f t="shared" si="12"/>
        <v>61945.2</v>
      </c>
      <c r="Q136" s="103">
        <f t="shared" si="12"/>
        <v>56012.1</v>
      </c>
      <c r="R136" s="103">
        <f t="shared" si="12"/>
        <v>56157.5</v>
      </c>
      <c r="S136" s="103">
        <f t="shared" si="12"/>
        <v>56157.5</v>
      </c>
    </row>
    <row r="137" spans="1:19" ht="84">
      <c r="A137" s="35" t="s">
        <v>174</v>
      </c>
      <c r="B137" s="61">
        <v>1701</v>
      </c>
      <c r="C137" s="22" t="s">
        <v>527</v>
      </c>
      <c r="D137" s="22" t="s">
        <v>528</v>
      </c>
      <c r="E137" s="22" t="s">
        <v>529</v>
      </c>
      <c r="F137" s="22" t="s">
        <v>530</v>
      </c>
      <c r="G137" s="22" t="s">
        <v>531</v>
      </c>
      <c r="H137" s="22" t="s">
        <v>532</v>
      </c>
      <c r="I137" s="115" t="s">
        <v>910</v>
      </c>
      <c r="J137" s="115" t="s">
        <v>911</v>
      </c>
      <c r="K137" s="115" t="s">
        <v>912</v>
      </c>
      <c r="L137" s="116" t="s">
        <v>526</v>
      </c>
      <c r="M137" s="95" t="s">
        <v>314</v>
      </c>
      <c r="N137" s="96">
        <f>65195+97101.9</f>
        <v>162296.9</v>
      </c>
      <c r="O137" s="42">
        <f>65195+97101.9</f>
        <v>162296.9</v>
      </c>
      <c r="P137" s="42">
        <f>61945.2</f>
        <v>61945.2</v>
      </c>
      <c r="Q137" s="97">
        <v>56012.1</v>
      </c>
      <c r="R137" s="97">
        <v>56157.5</v>
      </c>
      <c r="S137" s="97">
        <v>56157.5</v>
      </c>
    </row>
    <row r="138" spans="1:19" ht="36">
      <c r="A138" s="35" t="s">
        <v>21</v>
      </c>
      <c r="B138" s="61">
        <v>1702</v>
      </c>
      <c r="C138" s="17"/>
      <c r="D138" s="23"/>
      <c r="E138" s="23"/>
      <c r="F138" s="17"/>
      <c r="G138" s="23"/>
      <c r="H138" s="23"/>
      <c r="I138" s="23"/>
      <c r="J138" s="23"/>
      <c r="K138" s="23"/>
      <c r="L138" s="94"/>
      <c r="M138" s="95"/>
      <c r="N138" s="98"/>
      <c r="O138" s="42"/>
      <c r="P138" s="42"/>
      <c r="Q138" s="97"/>
      <c r="R138" s="97"/>
      <c r="S138" s="97"/>
    </row>
    <row r="139" spans="1:19" ht="156">
      <c r="A139" s="35" t="s">
        <v>175</v>
      </c>
      <c r="B139" s="65">
        <v>1703</v>
      </c>
      <c r="C139" s="57" t="s">
        <v>12</v>
      </c>
      <c r="D139" s="58" t="s">
        <v>12</v>
      </c>
      <c r="E139" s="58" t="s">
        <v>12</v>
      </c>
      <c r="F139" s="57" t="s">
        <v>12</v>
      </c>
      <c r="G139" s="58" t="s">
        <v>12</v>
      </c>
      <c r="H139" s="58" t="s">
        <v>12</v>
      </c>
      <c r="I139" s="58"/>
      <c r="J139" s="58"/>
      <c r="K139" s="58"/>
      <c r="L139" s="102" t="s">
        <v>12</v>
      </c>
      <c r="M139" s="93" t="s">
        <v>12</v>
      </c>
      <c r="N139" s="44">
        <f aca="true" t="shared" si="13" ref="N139:S139">SUM(N140:N141)</f>
        <v>0</v>
      </c>
      <c r="O139" s="44">
        <f t="shared" si="13"/>
        <v>0</v>
      </c>
      <c r="P139" s="44">
        <f t="shared" si="13"/>
        <v>0</v>
      </c>
      <c r="Q139" s="103">
        <f t="shared" si="13"/>
        <v>0</v>
      </c>
      <c r="R139" s="103">
        <f t="shared" si="13"/>
        <v>0</v>
      </c>
      <c r="S139" s="103">
        <f t="shared" si="13"/>
        <v>0</v>
      </c>
    </row>
    <row r="140" spans="1:19" ht="12">
      <c r="A140" s="14" t="s">
        <v>13</v>
      </c>
      <c r="B140" s="61">
        <v>1704</v>
      </c>
      <c r="C140" s="17"/>
      <c r="D140" s="23"/>
      <c r="E140" s="23"/>
      <c r="F140" s="17"/>
      <c r="G140" s="23"/>
      <c r="H140" s="23"/>
      <c r="I140" s="23"/>
      <c r="J140" s="23"/>
      <c r="K140" s="23"/>
      <c r="L140" s="94"/>
      <c r="M140" s="95"/>
      <c r="N140" s="42"/>
      <c r="O140" s="42"/>
      <c r="P140" s="42"/>
      <c r="Q140" s="97"/>
      <c r="R140" s="97"/>
      <c r="S140" s="97"/>
    </row>
    <row r="141" spans="1:19" ht="12">
      <c r="A141" s="14" t="s">
        <v>13</v>
      </c>
      <c r="B141" s="61">
        <v>1705</v>
      </c>
      <c r="C141" s="17"/>
      <c r="D141" s="23"/>
      <c r="E141" s="23"/>
      <c r="F141" s="17"/>
      <c r="G141" s="23"/>
      <c r="H141" s="23"/>
      <c r="I141" s="23"/>
      <c r="J141" s="23"/>
      <c r="K141" s="23"/>
      <c r="L141" s="94"/>
      <c r="M141" s="95"/>
      <c r="N141" s="42"/>
      <c r="O141" s="42"/>
      <c r="P141" s="42"/>
      <c r="Q141" s="97"/>
      <c r="R141" s="97"/>
      <c r="S141" s="97"/>
    </row>
    <row r="142" spans="1:19" ht="24">
      <c r="A142" s="35" t="s">
        <v>22</v>
      </c>
      <c r="B142" s="65">
        <v>1800</v>
      </c>
      <c r="C142" s="57" t="s">
        <v>12</v>
      </c>
      <c r="D142" s="58" t="s">
        <v>12</v>
      </c>
      <c r="E142" s="58" t="s">
        <v>12</v>
      </c>
      <c r="F142" s="57" t="s">
        <v>12</v>
      </c>
      <c r="G142" s="58" t="s">
        <v>12</v>
      </c>
      <c r="H142" s="58" t="s">
        <v>12</v>
      </c>
      <c r="I142" s="58"/>
      <c r="J142" s="58"/>
      <c r="K142" s="58"/>
      <c r="L142" s="102" t="s">
        <v>12</v>
      </c>
      <c r="M142" s="93" t="s">
        <v>12</v>
      </c>
      <c r="N142" s="44">
        <f aca="true" t="shared" si="14" ref="N142:S142">N143+N145</f>
        <v>3723.4</v>
      </c>
      <c r="O142" s="44">
        <f t="shared" si="14"/>
        <v>3652.4</v>
      </c>
      <c r="P142" s="44">
        <f t="shared" si="14"/>
        <v>0</v>
      </c>
      <c r="Q142" s="103">
        <f t="shared" si="14"/>
        <v>0</v>
      </c>
      <c r="R142" s="103">
        <f t="shared" si="14"/>
        <v>0</v>
      </c>
      <c r="S142" s="103">
        <f t="shared" si="14"/>
        <v>0</v>
      </c>
    </row>
    <row r="143" spans="1:19" ht="96">
      <c r="A143" s="35" t="s">
        <v>176</v>
      </c>
      <c r="B143" s="65">
        <v>1801</v>
      </c>
      <c r="C143" s="57" t="s">
        <v>12</v>
      </c>
      <c r="D143" s="58" t="s">
        <v>12</v>
      </c>
      <c r="E143" s="58" t="s">
        <v>12</v>
      </c>
      <c r="F143" s="57" t="s">
        <v>12</v>
      </c>
      <c r="G143" s="58" t="s">
        <v>12</v>
      </c>
      <c r="H143" s="58" t="s">
        <v>12</v>
      </c>
      <c r="I143" s="73"/>
      <c r="J143" s="73"/>
      <c r="K143" s="73"/>
      <c r="L143" s="102" t="s">
        <v>12</v>
      </c>
      <c r="M143" s="93" t="s">
        <v>12</v>
      </c>
      <c r="N143" s="44">
        <f aca="true" t="shared" si="15" ref="N143:S143">SUM(N144:N144)</f>
        <v>0</v>
      </c>
      <c r="O143" s="44">
        <f t="shared" si="15"/>
        <v>0</v>
      </c>
      <c r="P143" s="44">
        <f t="shared" si="15"/>
        <v>0</v>
      </c>
      <c r="Q143" s="44">
        <f t="shared" si="15"/>
        <v>0</v>
      </c>
      <c r="R143" s="44">
        <f t="shared" si="15"/>
        <v>0</v>
      </c>
      <c r="S143" s="44">
        <f t="shared" si="15"/>
        <v>0</v>
      </c>
    </row>
    <row r="144" spans="1:19" ht="12">
      <c r="A144" s="14" t="s">
        <v>13</v>
      </c>
      <c r="B144" s="61"/>
      <c r="C144" s="17"/>
      <c r="D144" s="23"/>
      <c r="E144" s="23"/>
      <c r="F144" s="17"/>
      <c r="G144" s="23"/>
      <c r="H144" s="23"/>
      <c r="I144" s="23"/>
      <c r="J144" s="23"/>
      <c r="K144" s="23"/>
      <c r="L144" s="94"/>
      <c r="M144" s="95"/>
      <c r="N144" s="98"/>
      <c r="O144" s="42"/>
      <c r="P144" s="42"/>
      <c r="Q144" s="97"/>
      <c r="R144" s="97"/>
      <c r="S144" s="97"/>
    </row>
    <row r="145" spans="1:19" ht="36">
      <c r="A145" s="35" t="s">
        <v>177</v>
      </c>
      <c r="B145" s="65">
        <v>1900</v>
      </c>
      <c r="C145" s="57" t="s">
        <v>12</v>
      </c>
      <c r="D145" s="58" t="s">
        <v>12</v>
      </c>
      <c r="E145" s="58" t="s">
        <v>12</v>
      </c>
      <c r="F145" s="57" t="s">
        <v>12</v>
      </c>
      <c r="G145" s="58" t="s">
        <v>12</v>
      </c>
      <c r="H145" s="58" t="s">
        <v>12</v>
      </c>
      <c r="I145" s="58"/>
      <c r="J145" s="58"/>
      <c r="K145" s="58"/>
      <c r="L145" s="102" t="s">
        <v>12</v>
      </c>
      <c r="M145" s="93" t="s">
        <v>12</v>
      </c>
      <c r="N145" s="44">
        <f aca="true" t="shared" si="16" ref="N145:S145">SUM(N146:N147)</f>
        <v>3723.4</v>
      </c>
      <c r="O145" s="44">
        <f t="shared" si="16"/>
        <v>3652.4</v>
      </c>
      <c r="P145" s="44">
        <f t="shared" si="16"/>
        <v>0</v>
      </c>
      <c r="Q145" s="44">
        <f t="shared" si="16"/>
        <v>0</v>
      </c>
      <c r="R145" s="44">
        <f t="shared" si="16"/>
        <v>0</v>
      </c>
      <c r="S145" s="44">
        <f t="shared" si="16"/>
        <v>0</v>
      </c>
    </row>
    <row r="146" spans="1:19" ht="165" customHeight="1">
      <c r="A146" s="14" t="s">
        <v>799</v>
      </c>
      <c r="B146" s="61">
        <v>1908</v>
      </c>
      <c r="C146" s="22" t="s">
        <v>527</v>
      </c>
      <c r="D146" s="22" t="s">
        <v>548</v>
      </c>
      <c r="E146" s="22" t="s">
        <v>529</v>
      </c>
      <c r="F146" s="17" t="s">
        <v>547</v>
      </c>
      <c r="G146" s="20" t="s">
        <v>435</v>
      </c>
      <c r="H146" s="20" t="s">
        <v>546</v>
      </c>
      <c r="I146" s="91" t="s">
        <v>913</v>
      </c>
      <c r="J146" s="20" t="s">
        <v>605</v>
      </c>
      <c r="K146" s="20" t="s">
        <v>914</v>
      </c>
      <c r="L146" s="94" t="s">
        <v>303</v>
      </c>
      <c r="M146" s="95" t="s">
        <v>305</v>
      </c>
      <c r="N146" s="96">
        <v>3723.4</v>
      </c>
      <c r="O146" s="42">
        <v>3652.4</v>
      </c>
      <c r="P146" s="42">
        <v>0</v>
      </c>
      <c r="Q146" s="42">
        <v>0</v>
      </c>
      <c r="R146" s="42">
        <v>0</v>
      </c>
      <c r="S146" s="42">
        <v>0</v>
      </c>
    </row>
    <row r="147" spans="1:19" ht="12">
      <c r="A147" s="14" t="s">
        <v>13</v>
      </c>
      <c r="B147" s="61"/>
      <c r="C147" s="17"/>
      <c r="D147" s="23"/>
      <c r="E147" s="23"/>
      <c r="F147" s="17"/>
      <c r="G147" s="23"/>
      <c r="H147" s="23"/>
      <c r="I147" s="79"/>
      <c r="J147" s="79"/>
      <c r="K147" s="79"/>
      <c r="L147" s="94"/>
      <c r="M147" s="95"/>
      <c r="N147" s="26"/>
      <c r="O147" s="42"/>
      <c r="P147" s="42"/>
      <c r="Q147" s="3"/>
      <c r="R147" s="3"/>
      <c r="S147" s="3"/>
    </row>
    <row r="148" spans="1:19" ht="72" hidden="1">
      <c r="A148" s="34" t="s">
        <v>23</v>
      </c>
      <c r="B148" s="65">
        <v>2000</v>
      </c>
      <c r="C148" s="57" t="s">
        <v>12</v>
      </c>
      <c r="D148" s="58" t="s">
        <v>12</v>
      </c>
      <c r="E148" s="58" t="s">
        <v>12</v>
      </c>
      <c r="F148" s="57" t="s">
        <v>12</v>
      </c>
      <c r="G148" s="58" t="s">
        <v>12</v>
      </c>
      <c r="H148" s="58" t="s">
        <v>12</v>
      </c>
      <c r="I148" s="58"/>
      <c r="J148" s="58"/>
      <c r="K148" s="58"/>
      <c r="L148" s="102" t="s">
        <v>12</v>
      </c>
      <c r="M148" s="93" t="s">
        <v>12</v>
      </c>
      <c r="N148" s="43"/>
      <c r="O148" s="44">
        <f>O149+O194+O213+O234+O276</f>
        <v>0</v>
      </c>
      <c r="P148" s="44">
        <f>P149+P194+P213+P234+P276</f>
        <v>0</v>
      </c>
      <c r="Q148" s="3"/>
      <c r="R148" s="3"/>
      <c r="S148" s="3"/>
    </row>
    <row r="149" spans="1:19" ht="84" hidden="1">
      <c r="A149" s="35" t="s">
        <v>178</v>
      </c>
      <c r="B149" s="65">
        <v>2001</v>
      </c>
      <c r="C149" s="57" t="s">
        <v>12</v>
      </c>
      <c r="D149" s="58" t="s">
        <v>12</v>
      </c>
      <c r="E149" s="58" t="s">
        <v>12</v>
      </c>
      <c r="F149" s="57" t="s">
        <v>12</v>
      </c>
      <c r="G149" s="58" t="s">
        <v>12</v>
      </c>
      <c r="H149" s="58" t="s">
        <v>12</v>
      </c>
      <c r="I149" s="58"/>
      <c r="J149" s="58"/>
      <c r="K149" s="58"/>
      <c r="L149" s="102" t="s">
        <v>12</v>
      </c>
      <c r="M149" s="93" t="s">
        <v>12</v>
      </c>
      <c r="N149" s="43"/>
      <c r="O149" s="44">
        <f>SUM(O150:O193)</f>
        <v>0</v>
      </c>
      <c r="P149" s="44">
        <f>SUM(P150:P193)</f>
        <v>0</v>
      </c>
      <c r="Q149" s="3"/>
      <c r="R149" s="3"/>
      <c r="S149" s="3"/>
    </row>
    <row r="150" spans="1:19" ht="72" hidden="1">
      <c r="A150" s="14" t="s">
        <v>182</v>
      </c>
      <c r="B150" s="61">
        <v>2002</v>
      </c>
      <c r="C150" s="56"/>
      <c r="D150" s="56"/>
      <c r="E150" s="56"/>
      <c r="F150" s="56"/>
      <c r="G150" s="56"/>
      <c r="H150" s="56"/>
      <c r="I150" s="56"/>
      <c r="J150" s="56"/>
      <c r="K150" s="56"/>
      <c r="L150" s="117"/>
      <c r="M150" s="1"/>
      <c r="N150" s="45"/>
      <c r="O150" s="42"/>
      <c r="P150" s="42"/>
      <c r="Q150" s="3"/>
      <c r="R150" s="3"/>
      <c r="S150" s="3"/>
    </row>
    <row r="151" spans="1:19" ht="24" hidden="1">
      <c r="A151" s="14" t="s">
        <v>183</v>
      </c>
      <c r="B151" s="61">
        <v>2003</v>
      </c>
      <c r="C151" s="56"/>
      <c r="D151" s="56"/>
      <c r="E151" s="56"/>
      <c r="F151" s="56"/>
      <c r="G151" s="56"/>
      <c r="H151" s="56"/>
      <c r="I151" s="56"/>
      <c r="J151" s="56"/>
      <c r="K151" s="56"/>
      <c r="L151" s="117"/>
      <c r="M151" s="1"/>
      <c r="N151" s="45"/>
      <c r="O151" s="42"/>
      <c r="P151" s="42"/>
      <c r="Q151" s="3"/>
      <c r="R151" s="3"/>
      <c r="S151" s="3"/>
    </row>
    <row r="152" spans="1:19" ht="36" hidden="1">
      <c r="A152" s="14" t="s">
        <v>184</v>
      </c>
      <c r="B152" s="61">
        <v>2004</v>
      </c>
      <c r="C152" s="56"/>
      <c r="D152" s="56"/>
      <c r="E152" s="56"/>
      <c r="F152" s="56"/>
      <c r="G152" s="56"/>
      <c r="H152" s="56"/>
      <c r="I152" s="56"/>
      <c r="J152" s="56"/>
      <c r="K152" s="56"/>
      <c r="L152" s="117"/>
      <c r="M152" s="1"/>
      <c r="N152" s="45"/>
      <c r="O152" s="42"/>
      <c r="P152" s="42"/>
      <c r="Q152" s="3"/>
      <c r="R152" s="3"/>
      <c r="S152" s="3"/>
    </row>
    <row r="153" spans="1:19" ht="72" hidden="1">
      <c r="A153" s="14" t="s">
        <v>185</v>
      </c>
      <c r="B153" s="61">
        <v>2005</v>
      </c>
      <c r="C153" s="56"/>
      <c r="D153" s="56"/>
      <c r="E153" s="56"/>
      <c r="F153" s="56"/>
      <c r="G153" s="56"/>
      <c r="H153" s="56"/>
      <c r="I153" s="56"/>
      <c r="J153" s="56"/>
      <c r="K153" s="56"/>
      <c r="L153" s="117"/>
      <c r="M153" s="1"/>
      <c r="N153" s="45"/>
      <c r="O153" s="42"/>
      <c r="P153" s="42"/>
      <c r="Q153" s="3"/>
      <c r="R153" s="3"/>
      <c r="S153" s="3"/>
    </row>
    <row r="154" spans="1:19" ht="168" hidden="1">
      <c r="A154" s="14" t="s">
        <v>186</v>
      </c>
      <c r="B154" s="61">
        <v>2006</v>
      </c>
      <c r="C154" s="56"/>
      <c r="D154" s="56"/>
      <c r="E154" s="56"/>
      <c r="F154" s="56"/>
      <c r="G154" s="56"/>
      <c r="H154" s="56"/>
      <c r="I154" s="56"/>
      <c r="J154" s="56"/>
      <c r="K154" s="56"/>
      <c r="L154" s="117"/>
      <c r="M154" s="1"/>
      <c r="N154" s="45"/>
      <c r="O154" s="42"/>
      <c r="P154" s="42"/>
      <c r="Q154" s="3"/>
      <c r="R154" s="3"/>
      <c r="S154" s="3"/>
    </row>
    <row r="155" spans="1:19" ht="120" hidden="1">
      <c r="A155" s="14" t="s">
        <v>187</v>
      </c>
      <c r="B155" s="61">
        <v>2007</v>
      </c>
      <c r="C155" s="56"/>
      <c r="D155" s="56"/>
      <c r="E155" s="56"/>
      <c r="F155" s="56"/>
      <c r="G155" s="56"/>
      <c r="H155" s="56"/>
      <c r="I155" s="56"/>
      <c r="J155" s="56"/>
      <c r="K155" s="56"/>
      <c r="L155" s="117"/>
      <c r="M155" s="1"/>
      <c r="N155" s="45"/>
      <c r="O155" s="42"/>
      <c r="P155" s="42"/>
      <c r="Q155" s="3"/>
      <c r="R155" s="3"/>
      <c r="S155" s="3"/>
    </row>
    <row r="156" spans="1:19" ht="48" hidden="1">
      <c r="A156" s="14" t="s">
        <v>188</v>
      </c>
      <c r="B156" s="61">
        <v>2008</v>
      </c>
      <c r="C156" s="56"/>
      <c r="D156" s="56"/>
      <c r="E156" s="56"/>
      <c r="F156" s="56"/>
      <c r="G156" s="56"/>
      <c r="H156" s="56"/>
      <c r="I156" s="56"/>
      <c r="J156" s="56"/>
      <c r="K156" s="56"/>
      <c r="L156" s="117"/>
      <c r="M156" s="1"/>
      <c r="N156" s="45"/>
      <c r="O156" s="42"/>
      <c r="P156" s="42"/>
      <c r="Q156" s="3"/>
      <c r="R156" s="3"/>
      <c r="S156" s="3"/>
    </row>
    <row r="157" spans="1:19" ht="60" hidden="1">
      <c r="A157" s="14" t="s">
        <v>189</v>
      </c>
      <c r="B157" s="61">
        <v>2009</v>
      </c>
      <c r="C157" s="56"/>
      <c r="D157" s="56"/>
      <c r="E157" s="56"/>
      <c r="F157" s="56"/>
      <c r="G157" s="56"/>
      <c r="H157" s="56"/>
      <c r="I157" s="56"/>
      <c r="J157" s="56"/>
      <c r="K157" s="56"/>
      <c r="L157" s="117"/>
      <c r="M157" s="1"/>
      <c r="N157" s="45"/>
      <c r="O157" s="42"/>
      <c r="P157" s="42"/>
      <c r="Q157" s="3"/>
      <c r="R157" s="3"/>
      <c r="S157" s="3"/>
    </row>
    <row r="158" spans="1:19" ht="132" hidden="1">
      <c r="A158" s="14" t="s">
        <v>190</v>
      </c>
      <c r="B158" s="61">
        <v>2010</v>
      </c>
      <c r="C158" s="56"/>
      <c r="D158" s="56"/>
      <c r="E158" s="56"/>
      <c r="F158" s="56"/>
      <c r="G158" s="56"/>
      <c r="H158" s="56"/>
      <c r="I158" s="56"/>
      <c r="J158" s="56"/>
      <c r="K158" s="56"/>
      <c r="L158" s="117"/>
      <c r="M158" s="1"/>
      <c r="N158" s="45"/>
      <c r="O158" s="42"/>
      <c r="P158" s="42"/>
      <c r="Q158" s="3"/>
      <c r="R158" s="3"/>
      <c r="S158" s="3"/>
    </row>
    <row r="159" spans="1:19" ht="36" hidden="1">
      <c r="A159" s="14" t="s">
        <v>191</v>
      </c>
      <c r="B159" s="61">
        <v>2011</v>
      </c>
      <c r="C159" s="56"/>
      <c r="D159" s="56"/>
      <c r="E159" s="56"/>
      <c r="F159" s="56"/>
      <c r="G159" s="56"/>
      <c r="H159" s="56"/>
      <c r="I159" s="56"/>
      <c r="J159" s="56"/>
      <c r="K159" s="56"/>
      <c r="L159" s="117"/>
      <c r="M159" s="1"/>
      <c r="N159" s="45"/>
      <c r="O159" s="42"/>
      <c r="P159" s="42"/>
      <c r="Q159" s="3"/>
      <c r="R159" s="3"/>
      <c r="S159" s="3"/>
    </row>
    <row r="160" spans="1:19" ht="36" hidden="1">
      <c r="A160" s="14" t="s">
        <v>192</v>
      </c>
      <c r="B160" s="61">
        <v>2012</v>
      </c>
      <c r="C160" s="56"/>
      <c r="D160" s="56"/>
      <c r="E160" s="56"/>
      <c r="F160" s="56"/>
      <c r="G160" s="56"/>
      <c r="H160" s="56"/>
      <c r="I160" s="56"/>
      <c r="J160" s="56"/>
      <c r="K160" s="56"/>
      <c r="L160" s="117"/>
      <c r="M160" s="1"/>
      <c r="N160" s="45"/>
      <c r="O160" s="42"/>
      <c r="P160" s="42"/>
      <c r="Q160" s="3"/>
      <c r="R160" s="3"/>
      <c r="S160" s="3"/>
    </row>
    <row r="161" spans="1:19" ht="60" hidden="1">
      <c r="A161" s="14" t="s">
        <v>193</v>
      </c>
      <c r="B161" s="61">
        <v>2013</v>
      </c>
      <c r="C161" s="56"/>
      <c r="D161" s="56"/>
      <c r="E161" s="56"/>
      <c r="F161" s="56"/>
      <c r="G161" s="56"/>
      <c r="H161" s="56"/>
      <c r="I161" s="56"/>
      <c r="J161" s="56"/>
      <c r="K161" s="56"/>
      <c r="L161" s="117"/>
      <c r="M161" s="1"/>
      <c r="N161" s="45"/>
      <c r="O161" s="42"/>
      <c r="P161" s="42"/>
      <c r="Q161" s="3"/>
      <c r="R161" s="3"/>
      <c r="S161" s="3"/>
    </row>
    <row r="162" spans="1:19" ht="72" hidden="1">
      <c r="A162" s="14" t="s">
        <v>54</v>
      </c>
      <c r="B162" s="61">
        <v>2014</v>
      </c>
      <c r="C162" s="56"/>
      <c r="D162" s="56"/>
      <c r="E162" s="56"/>
      <c r="F162" s="56"/>
      <c r="G162" s="56"/>
      <c r="H162" s="56"/>
      <c r="I162" s="56"/>
      <c r="J162" s="56"/>
      <c r="K162" s="56"/>
      <c r="L162" s="117"/>
      <c r="M162" s="1"/>
      <c r="N162" s="45"/>
      <c r="O162" s="42"/>
      <c r="P162" s="42"/>
      <c r="Q162" s="3"/>
      <c r="R162" s="3"/>
      <c r="S162" s="3"/>
    </row>
    <row r="163" spans="1:19" ht="24" hidden="1">
      <c r="A163" s="14" t="s">
        <v>194</v>
      </c>
      <c r="B163" s="61">
        <v>2015</v>
      </c>
      <c r="C163" s="56"/>
      <c r="D163" s="56"/>
      <c r="E163" s="56"/>
      <c r="F163" s="56"/>
      <c r="G163" s="56"/>
      <c r="H163" s="56"/>
      <c r="I163" s="56"/>
      <c r="J163" s="56"/>
      <c r="K163" s="56"/>
      <c r="L163" s="117"/>
      <c r="M163" s="1"/>
      <c r="N163" s="45"/>
      <c r="O163" s="42"/>
      <c r="P163" s="42"/>
      <c r="Q163" s="3"/>
      <c r="R163" s="3"/>
      <c r="S163" s="3"/>
    </row>
    <row r="164" spans="1:19" ht="36" hidden="1">
      <c r="A164" s="14" t="s">
        <v>195</v>
      </c>
      <c r="B164" s="61">
        <v>2016</v>
      </c>
      <c r="C164" s="56"/>
      <c r="D164" s="56"/>
      <c r="E164" s="56"/>
      <c r="F164" s="56"/>
      <c r="G164" s="56"/>
      <c r="H164" s="56"/>
      <c r="I164" s="56"/>
      <c r="J164" s="56"/>
      <c r="K164" s="56"/>
      <c r="L164" s="117"/>
      <c r="M164" s="1"/>
      <c r="N164" s="45"/>
      <c r="O164" s="42"/>
      <c r="P164" s="42"/>
      <c r="Q164" s="3"/>
      <c r="R164" s="3"/>
      <c r="S164" s="3"/>
    </row>
    <row r="165" spans="1:19" ht="288" hidden="1">
      <c r="A165" s="14" t="s">
        <v>56</v>
      </c>
      <c r="B165" s="61">
        <v>2017</v>
      </c>
      <c r="C165" s="56"/>
      <c r="D165" s="56"/>
      <c r="E165" s="56"/>
      <c r="F165" s="56"/>
      <c r="G165" s="56"/>
      <c r="H165" s="56"/>
      <c r="I165" s="56"/>
      <c r="J165" s="56"/>
      <c r="K165" s="56"/>
      <c r="L165" s="117"/>
      <c r="M165" s="1"/>
      <c r="N165" s="45"/>
      <c r="O165" s="42"/>
      <c r="P165" s="42"/>
      <c r="Q165" s="3"/>
      <c r="R165" s="3"/>
      <c r="S165" s="3"/>
    </row>
    <row r="166" spans="1:19" ht="192" hidden="1">
      <c r="A166" s="14" t="s">
        <v>196</v>
      </c>
      <c r="B166" s="61">
        <v>2018</v>
      </c>
      <c r="C166" s="56"/>
      <c r="D166" s="56"/>
      <c r="E166" s="56"/>
      <c r="F166" s="56"/>
      <c r="G166" s="56"/>
      <c r="H166" s="56"/>
      <c r="I166" s="56"/>
      <c r="J166" s="56"/>
      <c r="K166" s="56"/>
      <c r="L166" s="117"/>
      <c r="M166" s="1"/>
      <c r="N166" s="45"/>
      <c r="O166" s="42"/>
      <c r="P166" s="42"/>
      <c r="Q166" s="3"/>
      <c r="R166" s="3"/>
      <c r="S166" s="3"/>
    </row>
    <row r="167" spans="1:19" ht="48" hidden="1">
      <c r="A167" s="14" t="s">
        <v>197</v>
      </c>
      <c r="B167" s="61">
        <v>2019</v>
      </c>
      <c r="C167" s="56"/>
      <c r="D167" s="56"/>
      <c r="E167" s="56"/>
      <c r="F167" s="56"/>
      <c r="G167" s="56"/>
      <c r="H167" s="56"/>
      <c r="I167" s="56"/>
      <c r="J167" s="56"/>
      <c r="K167" s="56"/>
      <c r="L167" s="117"/>
      <c r="M167" s="1"/>
      <c r="N167" s="45"/>
      <c r="O167" s="42"/>
      <c r="P167" s="42"/>
      <c r="Q167" s="3"/>
      <c r="R167" s="3"/>
      <c r="S167" s="3"/>
    </row>
    <row r="168" spans="1:19" ht="48" hidden="1">
      <c r="A168" s="14" t="s">
        <v>198</v>
      </c>
      <c r="B168" s="61">
        <v>2020</v>
      </c>
      <c r="C168" s="56"/>
      <c r="D168" s="56"/>
      <c r="E168" s="56"/>
      <c r="F168" s="56"/>
      <c r="G168" s="56"/>
      <c r="H168" s="56"/>
      <c r="I168" s="56"/>
      <c r="J168" s="56"/>
      <c r="K168" s="56"/>
      <c r="L168" s="117"/>
      <c r="M168" s="1"/>
      <c r="N168" s="45"/>
      <c r="O168" s="42"/>
      <c r="P168" s="42"/>
      <c r="Q168" s="3"/>
      <c r="R168" s="3"/>
      <c r="S168" s="3"/>
    </row>
    <row r="169" spans="1:19" ht="36" hidden="1">
      <c r="A169" s="14" t="s">
        <v>199</v>
      </c>
      <c r="B169" s="61">
        <v>2021</v>
      </c>
      <c r="C169" s="56"/>
      <c r="D169" s="56"/>
      <c r="E169" s="56"/>
      <c r="F169" s="56"/>
      <c r="G169" s="56"/>
      <c r="H169" s="56"/>
      <c r="I169" s="56"/>
      <c r="J169" s="56"/>
      <c r="K169" s="56"/>
      <c r="L169" s="117"/>
      <c r="M169" s="1"/>
      <c r="N169" s="45"/>
      <c r="O169" s="42"/>
      <c r="P169" s="42"/>
      <c r="Q169" s="3"/>
      <c r="R169" s="3"/>
      <c r="S169" s="3"/>
    </row>
    <row r="170" spans="1:19" ht="72" hidden="1">
      <c r="A170" s="14" t="s">
        <v>200</v>
      </c>
      <c r="B170" s="61">
        <v>2022</v>
      </c>
      <c r="C170" s="56"/>
      <c r="D170" s="56"/>
      <c r="E170" s="56"/>
      <c r="F170" s="56"/>
      <c r="G170" s="56"/>
      <c r="H170" s="56"/>
      <c r="I170" s="56"/>
      <c r="J170" s="56"/>
      <c r="K170" s="56"/>
      <c r="L170" s="117"/>
      <c r="M170" s="1"/>
      <c r="N170" s="45"/>
      <c r="O170" s="42"/>
      <c r="P170" s="42"/>
      <c r="Q170" s="3"/>
      <c r="R170" s="3"/>
      <c r="S170" s="3"/>
    </row>
    <row r="171" spans="1:19" ht="96" hidden="1">
      <c r="A171" s="14" t="s">
        <v>201</v>
      </c>
      <c r="B171" s="61">
        <v>2023</v>
      </c>
      <c r="C171" s="56"/>
      <c r="D171" s="56"/>
      <c r="E171" s="56"/>
      <c r="F171" s="56"/>
      <c r="G171" s="56"/>
      <c r="H171" s="56"/>
      <c r="I171" s="56"/>
      <c r="J171" s="56"/>
      <c r="K171" s="56"/>
      <c r="L171" s="117"/>
      <c r="M171" s="1"/>
      <c r="N171" s="45"/>
      <c r="O171" s="42"/>
      <c r="P171" s="42"/>
      <c r="Q171" s="3"/>
      <c r="R171" s="3"/>
      <c r="S171" s="3"/>
    </row>
    <row r="172" spans="1:19" ht="84" hidden="1">
      <c r="A172" s="14" t="s">
        <v>202</v>
      </c>
      <c r="B172" s="61">
        <v>2024</v>
      </c>
      <c r="C172" s="56"/>
      <c r="D172" s="56"/>
      <c r="E172" s="56"/>
      <c r="F172" s="56"/>
      <c r="G172" s="56"/>
      <c r="H172" s="56"/>
      <c r="I172" s="56"/>
      <c r="J172" s="56"/>
      <c r="K172" s="56"/>
      <c r="L172" s="117"/>
      <c r="M172" s="1"/>
      <c r="N172" s="45"/>
      <c r="O172" s="42"/>
      <c r="P172" s="42"/>
      <c r="Q172" s="3"/>
      <c r="R172" s="3"/>
      <c r="S172" s="3"/>
    </row>
    <row r="173" spans="1:19" ht="48" hidden="1">
      <c r="A173" s="14" t="s">
        <v>203</v>
      </c>
      <c r="B173" s="61">
        <v>2025</v>
      </c>
      <c r="C173" s="56"/>
      <c r="D173" s="56"/>
      <c r="E173" s="56"/>
      <c r="F173" s="56"/>
      <c r="G173" s="56"/>
      <c r="H173" s="56"/>
      <c r="I173" s="56"/>
      <c r="J173" s="56"/>
      <c r="K173" s="56"/>
      <c r="L173" s="117"/>
      <c r="M173" s="1"/>
      <c r="N173" s="45"/>
      <c r="O173" s="42"/>
      <c r="P173" s="42"/>
      <c r="Q173" s="3"/>
      <c r="R173" s="3"/>
      <c r="S173" s="3"/>
    </row>
    <row r="174" spans="1:19" ht="24" hidden="1">
      <c r="A174" s="14" t="s">
        <v>204</v>
      </c>
      <c r="B174" s="61">
        <v>2026</v>
      </c>
      <c r="C174" s="56"/>
      <c r="D174" s="56"/>
      <c r="E174" s="56"/>
      <c r="F174" s="56"/>
      <c r="G174" s="56"/>
      <c r="H174" s="56"/>
      <c r="I174" s="56"/>
      <c r="J174" s="56"/>
      <c r="K174" s="56"/>
      <c r="L174" s="117"/>
      <c r="M174" s="1"/>
      <c r="N174" s="45"/>
      <c r="O174" s="42"/>
      <c r="P174" s="42"/>
      <c r="Q174" s="3"/>
      <c r="R174" s="3"/>
      <c r="S174" s="3"/>
    </row>
    <row r="175" spans="1:19" ht="24" hidden="1">
      <c r="A175" s="14" t="s">
        <v>205</v>
      </c>
      <c r="B175" s="61">
        <v>2027</v>
      </c>
      <c r="C175" s="56"/>
      <c r="D175" s="56"/>
      <c r="E175" s="56"/>
      <c r="F175" s="56"/>
      <c r="G175" s="56"/>
      <c r="H175" s="56"/>
      <c r="I175" s="56"/>
      <c r="J175" s="56"/>
      <c r="K175" s="56"/>
      <c r="L175" s="117"/>
      <c r="M175" s="1"/>
      <c r="N175" s="45"/>
      <c r="O175" s="42"/>
      <c r="P175" s="42"/>
      <c r="Q175" s="3"/>
      <c r="R175" s="3"/>
      <c r="S175" s="3"/>
    </row>
    <row r="176" spans="1:19" ht="60" hidden="1">
      <c r="A176" s="14" t="s">
        <v>206</v>
      </c>
      <c r="B176" s="61">
        <v>2028</v>
      </c>
      <c r="C176" s="56"/>
      <c r="D176" s="56"/>
      <c r="E176" s="56"/>
      <c r="F176" s="56"/>
      <c r="G176" s="56"/>
      <c r="H176" s="56"/>
      <c r="I176" s="56"/>
      <c r="J176" s="56"/>
      <c r="K176" s="56"/>
      <c r="L176" s="117"/>
      <c r="M176" s="1"/>
      <c r="N176" s="45"/>
      <c r="O176" s="42"/>
      <c r="P176" s="42"/>
      <c r="Q176" s="3"/>
      <c r="R176" s="3"/>
      <c r="S176" s="3"/>
    </row>
    <row r="177" spans="1:19" ht="276" hidden="1">
      <c r="A177" s="14" t="s">
        <v>207</v>
      </c>
      <c r="B177" s="61">
        <v>2029</v>
      </c>
      <c r="C177" s="56"/>
      <c r="D177" s="56"/>
      <c r="E177" s="56"/>
      <c r="F177" s="56"/>
      <c r="G177" s="56"/>
      <c r="H177" s="56"/>
      <c r="I177" s="56"/>
      <c r="J177" s="56"/>
      <c r="K177" s="56"/>
      <c r="L177" s="117"/>
      <c r="M177" s="1"/>
      <c r="N177" s="45"/>
      <c r="O177" s="42"/>
      <c r="P177" s="42"/>
      <c r="Q177" s="3"/>
      <c r="R177" s="3"/>
      <c r="S177" s="3"/>
    </row>
    <row r="178" spans="1:19" ht="360" hidden="1">
      <c r="A178" s="14" t="s">
        <v>208</v>
      </c>
      <c r="B178" s="61">
        <v>2030</v>
      </c>
      <c r="C178" s="56"/>
      <c r="D178" s="56"/>
      <c r="E178" s="56"/>
      <c r="F178" s="56"/>
      <c r="G178" s="56"/>
      <c r="H178" s="56"/>
      <c r="I178" s="56"/>
      <c r="J178" s="56"/>
      <c r="K178" s="56"/>
      <c r="L178" s="117"/>
      <c r="M178" s="1"/>
      <c r="N178" s="45"/>
      <c r="O178" s="42"/>
      <c r="P178" s="42"/>
      <c r="Q178" s="3"/>
      <c r="R178" s="3"/>
      <c r="S178" s="3"/>
    </row>
    <row r="179" spans="1:19" ht="120" hidden="1">
      <c r="A179" s="14" t="s">
        <v>209</v>
      </c>
      <c r="B179" s="61">
        <v>2031</v>
      </c>
      <c r="C179" s="56"/>
      <c r="D179" s="56"/>
      <c r="E179" s="56"/>
      <c r="F179" s="56"/>
      <c r="G179" s="56"/>
      <c r="H179" s="56"/>
      <c r="I179" s="56"/>
      <c r="J179" s="56"/>
      <c r="K179" s="56"/>
      <c r="L179" s="117"/>
      <c r="M179" s="1"/>
      <c r="N179" s="45"/>
      <c r="O179" s="42"/>
      <c r="P179" s="42"/>
      <c r="Q179" s="3"/>
      <c r="R179" s="3"/>
      <c r="S179" s="3"/>
    </row>
    <row r="180" spans="1:19" ht="156" hidden="1">
      <c r="A180" s="14" t="s">
        <v>210</v>
      </c>
      <c r="B180" s="61">
        <v>2032</v>
      </c>
      <c r="C180" s="56"/>
      <c r="D180" s="56"/>
      <c r="E180" s="56"/>
      <c r="F180" s="56"/>
      <c r="G180" s="56"/>
      <c r="H180" s="56"/>
      <c r="I180" s="56"/>
      <c r="J180" s="56"/>
      <c r="K180" s="56"/>
      <c r="L180" s="117"/>
      <c r="M180" s="1"/>
      <c r="N180" s="45"/>
      <c r="O180" s="42"/>
      <c r="P180" s="42"/>
      <c r="Q180" s="3"/>
      <c r="R180" s="3"/>
      <c r="S180" s="3"/>
    </row>
    <row r="181" spans="1:19" ht="156" hidden="1">
      <c r="A181" s="14" t="s">
        <v>211</v>
      </c>
      <c r="B181" s="61">
        <v>2033</v>
      </c>
      <c r="C181" s="56"/>
      <c r="D181" s="56"/>
      <c r="E181" s="56"/>
      <c r="F181" s="56"/>
      <c r="G181" s="56"/>
      <c r="H181" s="56"/>
      <c r="I181" s="56"/>
      <c r="J181" s="56"/>
      <c r="K181" s="56"/>
      <c r="L181" s="117"/>
      <c r="M181" s="1"/>
      <c r="N181" s="45"/>
      <c r="O181" s="42"/>
      <c r="P181" s="42"/>
      <c r="Q181" s="3"/>
      <c r="R181" s="3"/>
      <c r="S181" s="3"/>
    </row>
    <row r="182" spans="1:19" ht="60" hidden="1">
      <c r="A182" s="14" t="s">
        <v>212</v>
      </c>
      <c r="B182" s="61">
        <v>2034</v>
      </c>
      <c r="C182" s="56"/>
      <c r="D182" s="56"/>
      <c r="E182" s="56"/>
      <c r="F182" s="56"/>
      <c r="G182" s="56"/>
      <c r="H182" s="56"/>
      <c r="I182" s="56"/>
      <c r="J182" s="56"/>
      <c r="K182" s="56"/>
      <c r="L182" s="117"/>
      <c r="M182" s="1"/>
      <c r="N182" s="45"/>
      <c r="O182" s="42"/>
      <c r="P182" s="42"/>
      <c r="Q182" s="3"/>
      <c r="R182" s="3"/>
      <c r="S182" s="3"/>
    </row>
    <row r="183" spans="1:19" ht="84" hidden="1">
      <c r="A183" s="14" t="s">
        <v>213</v>
      </c>
      <c r="B183" s="61">
        <v>2035</v>
      </c>
      <c r="C183" s="56"/>
      <c r="D183" s="56"/>
      <c r="E183" s="56"/>
      <c r="F183" s="56"/>
      <c r="G183" s="56"/>
      <c r="H183" s="56"/>
      <c r="I183" s="56"/>
      <c r="J183" s="56"/>
      <c r="K183" s="56"/>
      <c r="L183" s="117"/>
      <c r="M183" s="1"/>
      <c r="N183" s="45"/>
      <c r="O183" s="42"/>
      <c r="P183" s="42"/>
      <c r="Q183" s="3"/>
      <c r="R183" s="3"/>
      <c r="S183" s="3"/>
    </row>
    <row r="184" spans="1:19" ht="60" hidden="1">
      <c r="A184" s="14" t="s">
        <v>214</v>
      </c>
      <c r="B184" s="61">
        <v>2036</v>
      </c>
      <c r="C184" s="56"/>
      <c r="D184" s="56"/>
      <c r="E184" s="56"/>
      <c r="F184" s="56"/>
      <c r="G184" s="56"/>
      <c r="H184" s="56"/>
      <c r="I184" s="56"/>
      <c r="J184" s="56"/>
      <c r="K184" s="56"/>
      <c r="L184" s="117"/>
      <c r="M184" s="1"/>
      <c r="N184" s="45"/>
      <c r="O184" s="42"/>
      <c r="P184" s="42"/>
      <c r="Q184" s="3"/>
      <c r="R184" s="3"/>
      <c r="S184" s="3"/>
    </row>
    <row r="185" spans="1:19" ht="36" hidden="1">
      <c r="A185" s="14" t="s">
        <v>70</v>
      </c>
      <c r="B185" s="61">
        <v>2037</v>
      </c>
      <c r="C185" s="56"/>
      <c r="D185" s="56"/>
      <c r="E185" s="56"/>
      <c r="F185" s="56"/>
      <c r="G185" s="56"/>
      <c r="H185" s="56"/>
      <c r="I185" s="56"/>
      <c r="J185" s="56"/>
      <c r="K185" s="56"/>
      <c r="L185" s="117"/>
      <c r="M185" s="1"/>
      <c r="N185" s="45"/>
      <c r="O185" s="42"/>
      <c r="P185" s="42"/>
      <c r="Q185" s="3"/>
      <c r="R185" s="3"/>
      <c r="S185" s="3"/>
    </row>
    <row r="186" spans="1:19" ht="96" hidden="1">
      <c r="A186" s="14" t="s">
        <v>215</v>
      </c>
      <c r="B186" s="61">
        <v>2038</v>
      </c>
      <c r="C186" s="56"/>
      <c r="D186" s="56"/>
      <c r="E186" s="56"/>
      <c r="F186" s="56"/>
      <c r="G186" s="56"/>
      <c r="H186" s="56"/>
      <c r="I186" s="56"/>
      <c r="J186" s="56"/>
      <c r="K186" s="56"/>
      <c r="L186" s="117"/>
      <c r="M186" s="1"/>
      <c r="N186" s="45"/>
      <c r="O186" s="42"/>
      <c r="P186" s="42"/>
      <c r="Q186" s="3"/>
      <c r="R186" s="3"/>
      <c r="S186" s="3"/>
    </row>
    <row r="187" spans="1:19" ht="36" hidden="1">
      <c r="A187" s="14" t="s">
        <v>216</v>
      </c>
      <c r="B187" s="61">
        <v>2039</v>
      </c>
      <c r="C187" s="56"/>
      <c r="D187" s="56"/>
      <c r="E187" s="56"/>
      <c r="F187" s="56"/>
      <c r="G187" s="56"/>
      <c r="H187" s="56"/>
      <c r="I187" s="56"/>
      <c r="J187" s="56"/>
      <c r="K187" s="56"/>
      <c r="L187" s="117"/>
      <c r="M187" s="1"/>
      <c r="N187" s="45"/>
      <c r="O187" s="42"/>
      <c r="P187" s="42"/>
      <c r="Q187" s="3"/>
      <c r="R187" s="3"/>
      <c r="S187" s="3"/>
    </row>
    <row r="188" spans="1:19" ht="132" hidden="1">
      <c r="A188" s="14" t="s">
        <v>217</v>
      </c>
      <c r="B188" s="61">
        <v>2040</v>
      </c>
      <c r="C188" s="56"/>
      <c r="D188" s="56"/>
      <c r="E188" s="56"/>
      <c r="F188" s="56"/>
      <c r="G188" s="56"/>
      <c r="H188" s="56"/>
      <c r="I188" s="56"/>
      <c r="J188" s="56"/>
      <c r="K188" s="56"/>
      <c r="L188" s="117"/>
      <c r="M188" s="1"/>
      <c r="N188" s="45"/>
      <c r="O188" s="42"/>
      <c r="P188" s="42"/>
      <c r="Q188" s="3"/>
      <c r="R188" s="3"/>
      <c r="S188" s="3"/>
    </row>
    <row r="189" spans="1:19" ht="48" hidden="1">
      <c r="A189" s="14" t="s">
        <v>218</v>
      </c>
      <c r="B189" s="61">
        <v>2041</v>
      </c>
      <c r="C189" s="56"/>
      <c r="D189" s="56"/>
      <c r="E189" s="56"/>
      <c r="F189" s="56"/>
      <c r="G189" s="56"/>
      <c r="H189" s="56"/>
      <c r="I189" s="56"/>
      <c r="J189" s="56"/>
      <c r="K189" s="56"/>
      <c r="L189" s="117"/>
      <c r="M189" s="1"/>
      <c r="N189" s="45"/>
      <c r="O189" s="42"/>
      <c r="P189" s="42"/>
      <c r="Q189" s="3"/>
      <c r="R189" s="3"/>
      <c r="S189" s="3"/>
    </row>
    <row r="190" spans="1:19" ht="24" hidden="1">
      <c r="A190" s="14" t="s">
        <v>75</v>
      </c>
      <c r="B190" s="61">
        <v>2042</v>
      </c>
      <c r="C190" s="56"/>
      <c r="D190" s="56"/>
      <c r="E190" s="56"/>
      <c r="F190" s="56"/>
      <c r="G190" s="56"/>
      <c r="H190" s="56"/>
      <c r="I190" s="56"/>
      <c r="J190" s="56"/>
      <c r="K190" s="56"/>
      <c r="L190" s="117"/>
      <c r="M190" s="1"/>
      <c r="N190" s="45"/>
      <c r="O190" s="42"/>
      <c r="P190" s="42"/>
      <c r="Q190" s="3"/>
      <c r="R190" s="3"/>
      <c r="S190" s="3"/>
    </row>
    <row r="191" spans="1:19" ht="84" hidden="1">
      <c r="A191" s="14" t="s">
        <v>219</v>
      </c>
      <c r="B191" s="61">
        <v>2043</v>
      </c>
      <c r="C191" s="56"/>
      <c r="D191" s="56"/>
      <c r="E191" s="56"/>
      <c r="F191" s="56"/>
      <c r="G191" s="56"/>
      <c r="H191" s="56"/>
      <c r="I191" s="56"/>
      <c r="J191" s="56"/>
      <c r="K191" s="56"/>
      <c r="L191" s="117"/>
      <c r="M191" s="1"/>
      <c r="N191" s="45"/>
      <c r="O191" s="42"/>
      <c r="P191" s="42"/>
      <c r="Q191" s="3"/>
      <c r="R191" s="3"/>
      <c r="S191" s="3"/>
    </row>
    <row r="192" spans="1:19" ht="24" hidden="1">
      <c r="A192" s="14" t="s">
        <v>220</v>
      </c>
      <c r="B192" s="61">
        <v>2044</v>
      </c>
      <c r="C192" s="56"/>
      <c r="D192" s="56"/>
      <c r="E192" s="56"/>
      <c r="F192" s="56"/>
      <c r="G192" s="56"/>
      <c r="H192" s="56"/>
      <c r="I192" s="56"/>
      <c r="J192" s="56"/>
      <c r="K192" s="56"/>
      <c r="L192" s="117"/>
      <c r="M192" s="1"/>
      <c r="N192" s="45"/>
      <c r="O192" s="42"/>
      <c r="P192" s="42"/>
      <c r="Q192" s="3"/>
      <c r="R192" s="3"/>
      <c r="S192" s="3"/>
    </row>
    <row r="193" spans="1:19" ht="60" hidden="1">
      <c r="A193" s="14" t="s">
        <v>80</v>
      </c>
      <c r="B193" s="61">
        <v>2045</v>
      </c>
      <c r="C193" s="56"/>
      <c r="D193" s="56"/>
      <c r="E193" s="56"/>
      <c r="F193" s="56"/>
      <c r="G193" s="56"/>
      <c r="H193" s="56"/>
      <c r="I193" s="56"/>
      <c r="J193" s="56"/>
      <c r="K193" s="56"/>
      <c r="L193" s="117"/>
      <c r="M193" s="1"/>
      <c r="N193" s="45"/>
      <c r="O193" s="42"/>
      <c r="P193" s="42"/>
      <c r="Q193" s="3"/>
      <c r="R193" s="3"/>
      <c r="S193" s="3"/>
    </row>
    <row r="194" spans="1:16" ht="108" hidden="1">
      <c r="A194" s="36" t="s">
        <v>179</v>
      </c>
      <c r="B194" s="66">
        <v>2100</v>
      </c>
      <c r="C194" s="57" t="s">
        <v>12</v>
      </c>
      <c r="D194" s="58" t="s">
        <v>12</v>
      </c>
      <c r="E194" s="58" t="s">
        <v>12</v>
      </c>
      <c r="F194" s="57" t="s">
        <v>12</v>
      </c>
      <c r="G194" s="58" t="s">
        <v>12</v>
      </c>
      <c r="H194" s="58" t="s">
        <v>12</v>
      </c>
      <c r="I194" s="58"/>
      <c r="J194" s="58"/>
      <c r="K194" s="58"/>
      <c r="L194" s="118" t="s">
        <v>12</v>
      </c>
      <c r="M194" s="119" t="s">
        <v>12</v>
      </c>
      <c r="N194" s="46"/>
      <c r="O194" s="47">
        <f>SUM(O195:O212)</f>
        <v>0</v>
      </c>
      <c r="P194" s="47">
        <f>SUM(P195:P212)</f>
        <v>0</v>
      </c>
    </row>
    <row r="195" spans="1:16" ht="24" hidden="1">
      <c r="A195" s="37" t="s">
        <v>109</v>
      </c>
      <c r="B195" s="67">
        <v>2101</v>
      </c>
      <c r="C195" s="56"/>
      <c r="D195" s="56"/>
      <c r="E195" s="56"/>
      <c r="F195" s="56"/>
      <c r="G195" s="56"/>
      <c r="H195" s="56"/>
      <c r="I195" s="56"/>
      <c r="J195" s="56"/>
      <c r="K195" s="56"/>
      <c r="L195" s="120"/>
      <c r="M195" s="121"/>
      <c r="N195" s="48"/>
      <c r="O195" s="49"/>
      <c r="P195" s="49"/>
    </row>
    <row r="196" spans="1:16" ht="12" hidden="1">
      <c r="A196" s="37" t="s">
        <v>110</v>
      </c>
      <c r="B196" s="67">
        <v>2102</v>
      </c>
      <c r="C196" s="56"/>
      <c r="D196" s="56"/>
      <c r="E196" s="56"/>
      <c r="F196" s="56"/>
      <c r="G196" s="56"/>
      <c r="H196" s="56"/>
      <c r="I196" s="56"/>
      <c r="J196" s="56"/>
      <c r="K196" s="56"/>
      <c r="L196" s="120"/>
      <c r="M196" s="121"/>
      <c r="N196" s="48"/>
      <c r="O196" s="49"/>
      <c r="P196" s="49"/>
    </row>
    <row r="197" spans="1:16" ht="48" hidden="1">
      <c r="A197" s="37" t="s">
        <v>111</v>
      </c>
      <c r="B197" s="67">
        <v>2103</v>
      </c>
      <c r="C197" s="56"/>
      <c r="D197" s="56"/>
      <c r="E197" s="56"/>
      <c r="F197" s="56"/>
      <c r="G197" s="56"/>
      <c r="H197" s="56"/>
      <c r="I197" s="56"/>
      <c r="J197" s="56"/>
      <c r="K197" s="56"/>
      <c r="L197" s="120"/>
      <c r="M197" s="121"/>
      <c r="N197" s="48"/>
      <c r="O197" s="49"/>
      <c r="P197" s="49"/>
    </row>
    <row r="198" spans="1:16" ht="24" hidden="1">
      <c r="A198" s="37" t="s">
        <v>112</v>
      </c>
      <c r="B198" s="67">
        <v>2104</v>
      </c>
      <c r="C198" s="56"/>
      <c r="D198" s="56"/>
      <c r="E198" s="56"/>
      <c r="F198" s="56"/>
      <c r="G198" s="56"/>
      <c r="H198" s="56"/>
      <c r="I198" s="56"/>
      <c r="J198" s="56"/>
      <c r="K198" s="56"/>
      <c r="L198" s="120"/>
      <c r="M198" s="121"/>
      <c r="N198" s="48"/>
      <c r="O198" s="49"/>
      <c r="P198" s="49"/>
    </row>
    <row r="199" spans="1:16" ht="108" hidden="1">
      <c r="A199" s="37" t="s">
        <v>113</v>
      </c>
      <c r="B199" s="67">
        <v>2105</v>
      </c>
      <c r="C199" s="56"/>
      <c r="D199" s="56"/>
      <c r="E199" s="56"/>
      <c r="F199" s="56"/>
      <c r="G199" s="56"/>
      <c r="H199" s="56"/>
      <c r="I199" s="56"/>
      <c r="J199" s="56"/>
      <c r="K199" s="56"/>
      <c r="L199" s="120"/>
      <c r="M199" s="121"/>
      <c r="N199" s="48"/>
      <c r="O199" s="49"/>
      <c r="P199" s="49"/>
    </row>
    <row r="200" spans="1:16" ht="72" hidden="1">
      <c r="A200" s="37" t="s">
        <v>114</v>
      </c>
      <c r="B200" s="67">
        <v>2106</v>
      </c>
      <c r="C200" s="56"/>
      <c r="D200" s="56"/>
      <c r="E200" s="56"/>
      <c r="F200" s="56"/>
      <c r="G200" s="56"/>
      <c r="H200" s="56"/>
      <c r="I200" s="56"/>
      <c r="J200" s="56"/>
      <c r="K200" s="56"/>
      <c r="L200" s="120"/>
      <c r="M200" s="121"/>
      <c r="N200" s="48"/>
      <c r="O200" s="49"/>
      <c r="P200" s="49"/>
    </row>
    <row r="201" spans="1:16" ht="84" hidden="1">
      <c r="A201" s="37" t="s">
        <v>115</v>
      </c>
      <c r="B201" s="67">
        <v>2107</v>
      </c>
      <c r="C201" s="56"/>
      <c r="D201" s="56"/>
      <c r="E201" s="56"/>
      <c r="F201" s="56"/>
      <c r="G201" s="56"/>
      <c r="H201" s="56"/>
      <c r="I201" s="56"/>
      <c r="J201" s="56"/>
      <c r="K201" s="56"/>
      <c r="L201" s="120"/>
      <c r="M201" s="121"/>
      <c r="N201" s="48"/>
      <c r="O201" s="49"/>
      <c r="P201" s="49"/>
    </row>
    <row r="202" spans="1:16" ht="36" hidden="1">
      <c r="A202" s="37" t="s">
        <v>116</v>
      </c>
      <c r="B202" s="67">
        <v>2108</v>
      </c>
      <c r="C202" s="56"/>
      <c r="D202" s="56"/>
      <c r="E202" s="56"/>
      <c r="F202" s="56"/>
      <c r="G202" s="56"/>
      <c r="H202" s="56"/>
      <c r="I202" s="56"/>
      <c r="J202" s="56"/>
      <c r="K202" s="56"/>
      <c r="L202" s="120"/>
      <c r="M202" s="121"/>
      <c r="N202" s="48"/>
      <c r="O202" s="49"/>
      <c r="P202" s="49"/>
    </row>
    <row r="203" spans="1:16" ht="48" hidden="1">
      <c r="A203" s="37" t="s">
        <v>117</v>
      </c>
      <c r="B203" s="67">
        <v>2109</v>
      </c>
      <c r="C203" s="56"/>
      <c r="D203" s="56"/>
      <c r="E203" s="56"/>
      <c r="F203" s="56"/>
      <c r="G203" s="56"/>
      <c r="H203" s="56"/>
      <c r="I203" s="56"/>
      <c r="J203" s="56"/>
      <c r="K203" s="56"/>
      <c r="L203" s="120"/>
      <c r="M203" s="121"/>
      <c r="N203" s="48"/>
      <c r="O203" s="49"/>
      <c r="P203" s="49"/>
    </row>
    <row r="204" spans="1:16" ht="132" hidden="1">
      <c r="A204" s="37" t="s">
        <v>118</v>
      </c>
      <c r="B204" s="67">
        <v>2110</v>
      </c>
      <c r="C204" s="56"/>
      <c r="D204" s="56"/>
      <c r="E204" s="56"/>
      <c r="F204" s="56"/>
      <c r="G204" s="56"/>
      <c r="H204" s="56"/>
      <c r="I204" s="56"/>
      <c r="J204" s="56"/>
      <c r="K204" s="56"/>
      <c r="L204" s="120"/>
      <c r="M204" s="121"/>
      <c r="N204" s="48"/>
      <c r="O204" s="49"/>
      <c r="P204" s="49"/>
    </row>
    <row r="205" spans="1:16" ht="132" hidden="1">
      <c r="A205" s="37" t="s">
        <v>119</v>
      </c>
      <c r="B205" s="67">
        <v>2111</v>
      </c>
      <c r="C205" s="56"/>
      <c r="D205" s="56"/>
      <c r="E205" s="56"/>
      <c r="F205" s="56"/>
      <c r="G205" s="56"/>
      <c r="H205" s="56"/>
      <c r="I205" s="56"/>
      <c r="J205" s="56"/>
      <c r="K205" s="56"/>
      <c r="L205" s="120"/>
      <c r="M205" s="121"/>
      <c r="N205" s="48"/>
      <c r="O205" s="49"/>
      <c r="P205" s="49"/>
    </row>
    <row r="206" spans="1:16" ht="132" hidden="1">
      <c r="A206" s="37" t="s">
        <v>120</v>
      </c>
      <c r="B206" s="67">
        <v>2112</v>
      </c>
      <c r="C206" s="56"/>
      <c r="D206" s="56"/>
      <c r="E206" s="56"/>
      <c r="F206" s="56"/>
      <c r="G206" s="56"/>
      <c r="H206" s="56"/>
      <c r="I206" s="56"/>
      <c r="J206" s="56"/>
      <c r="K206" s="56"/>
      <c r="L206" s="120"/>
      <c r="M206" s="121"/>
      <c r="N206" s="48"/>
      <c r="O206" s="49"/>
      <c r="P206" s="49"/>
    </row>
    <row r="207" spans="1:16" ht="132" hidden="1">
      <c r="A207" s="37" t="s">
        <v>121</v>
      </c>
      <c r="B207" s="67">
        <v>2113</v>
      </c>
      <c r="C207" s="56"/>
      <c r="D207" s="56"/>
      <c r="E207" s="56"/>
      <c r="F207" s="56"/>
      <c r="G207" s="56"/>
      <c r="H207" s="56"/>
      <c r="I207" s="56"/>
      <c r="J207" s="56"/>
      <c r="K207" s="56"/>
      <c r="L207" s="120"/>
      <c r="M207" s="121"/>
      <c r="N207" s="48"/>
      <c r="O207" s="49"/>
      <c r="P207" s="49"/>
    </row>
    <row r="208" spans="1:16" ht="36" hidden="1">
      <c r="A208" s="37" t="s">
        <v>122</v>
      </c>
      <c r="B208" s="67">
        <v>2114</v>
      </c>
      <c r="C208" s="56"/>
      <c r="D208" s="56"/>
      <c r="E208" s="56"/>
      <c r="F208" s="56"/>
      <c r="G208" s="56"/>
      <c r="H208" s="56"/>
      <c r="I208" s="56"/>
      <c r="J208" s="56"/>
      <c r="K208" s="56"/>
      <c r="L208" s="120"/>
      <c r="M208" s="121"/>
      <c r="N208" s="48"/>
      <c r="O208" s="49"/>
      <c r="P208" s="49"/>
    </row>
    <row r="209" spans="1:16" ht="180" hidden="1">
      <c r="A209" s="37" t="s">
        <v>123</v>
      </c>
      <c r="B209" s="67">
        <v>2115</v>
      </c>
      <c r="C209" s="56"/>
      <c r="D209" s="56"/>
      <c r="E209" s="56"/>
      <c r="F209" s="56"/>
      <c r="G209" s="56"/>
      <c r="H209" s="56"/>
      <c r="I209" s="56"/>
      <c r="J209" s="56"/>
      <c r="K209" s="56"/>
      <c r="L209" s="120"/>
      <c r="M209" s="121"/>
      <c r="N209" s="48"/>
      <c r="O209" s="49"/>
      <c r="P209" s="49"/>
    </row>
    <row r="210" spans="1:16" ht="144" hidden="1">
      <c r="A210" s="37" t="s">
        <v>124</v>
      </c>
      <c r="B210" s="67">
        <v>2116</v>
      </c>
      <c r="C210" s="56"/>
      <c r="D210" s="56"/>
      <c r="E210" s="56"/>
      <c r="F210" s="56"/>
      <c r="G210" s="56"/>
      <c r="H210" s="56"/>
      <c r="I210" s="56"/>
      <c r="J210" s="56"/>
      <c r="K210" s="56"/>
      <c r="L210" s="120"/>
      <c r="M210" s="121"/>
      <c r="N210" s="48"/>
      <c r="O210" s="49"/>
      <c r="P210" s="49"/>
    </row>
    <row r="211" spans="1:16" ht="12" hidden="1">
      <c r="A211" s="37" t="s">
        <v>13</v>
      </c>
      <c r="B211" s="67">
        <v>2117</v>
      </c>
      <c r="C211" s="17"/>
      <c r="D211" s="23"/>
      <c r="E211" s="23"/>
      <c r="F211" s="17"/>
      <c r="G211" s="23"/>
      <c r="H211" s="23"/>
      <c r="I211" s="23"/>
      <c r="J211" s="23"/>
      <c r="K211" s="23"/>
      <c r="L211" s="122"/>
      <c r="M211" s="123"/>
      <c r="N211" s="48"/>
      <c r="O211" s="49"/>
      <c r="P211" s="49"/>
    </row>
    <row r="212" spans="1:16" ht="12" hidden="1">
      <c r="A212" s="37" t="s">
        <v>13</v>
      </c>
      <c r="B212" s="67">
        <v>2118</v>
      </c>
      <c r="C212" s="17"/>
      <c r="D212" s="23"/>
      <c r="E212" s="23"/>
      <c r="F212" s="17"/>
      <c r="G212" s="23"/>
      <c r="H212" s="23"/>
      <c r="I212" s="23"/>
      <c r="J212" s="23"/>
      <c r="K212" s="23"/>
      <c r="L212" s="122"/>
      <c r="M212" s="123"/>
      <c r="N212" s="48"/>
      <c r="O212" s="49"/>
      <c r="P212" s="49"/>
    </row>
    <row r="213" spans="1:16" ht="108" hidden="1">
      <c r="A213" s="25" t="s">
        <v>24</v>
      </c>
      <c r="B213" s="68">
        <v>2200</v>
      </c>
      <c r="C213" s="57" t="s">
        <v>12</v>
      </c>
      <c r="D213" s="58" t="s">
        <v>12</v>
      </c>
      <c r="E213" s="58" t="s">
        <v>12</v>
      </c>
      <c r="F213" s="57" t="s">
        <v>12</v>
      </c>
      <c r="G213" s="58" t="s">
        <v>12</v>
      </c>
      <c r="H213" s="58" t="s">
        <v>12</v>
      </c>
      <c r="I213" s="58"/>
      <c r="J213" s="58"/>
      <c r="K213" s="58"/>
      <c r="L213" s="124" t="s">
        <v>12</v>
      </c>
      <c r="M213" s="125" t="s">
        <v>12</v>
      </c>
      <c r="N213" s="50"/>
      <c r="O213" s="51">
        <f>O214+O228+O231</f>
        <v>0</v>
      </c>
      <c r="P213" s="51">
        <f>P214+P228+P231</f>
        <v>0</v>
      </c>
    </row>
    <row r="214" spans="1:16" ht="60" hidden="1">
      <c r="A214" s="25" t="s">
        <v>180</v>
      </c>
      <c r="B214" s="68">
        <v>2201</v>
      </c>
      <c r="C214" s="57" t="s">
        <v>12</v>
      </c>
      <c r="D214" s="58" t="s">
        <v>12</v>
      </c>
      <c r="E214" s="58" t="s">
        <v>12</v>
      </c>
      <c r="F214" s="57" t="s">
        <v>12</v>
      </c>
      <c r="G214" s="58" t="s">
        <v>12</v>
      </c>
      <c r="H214" s="58" t="s">
        <v>12</v>
      </c>
      <c r="I214" s="58"/>
      <c r="J214" s="58"/>
      <c r="K214" s="58"/>
      <c r="L214" s="124" t="s">
        <v>12</v>
      </c>
      <c r="M214" s="125" t="s">
        <v>12</v>
      </c>
      <c r="N214" s="50"/>
      <c r="O214" s="51">
        <f>SUM(O215:O227)</f>
        <v>0</v>
      </c>
      <c r="P214" s="51">
        <f>SUM(P215:P227)</f>
        <v>0</v>
      </c>
    </row>
    <row r="215" spans="1:16" ht="12" hidden="1">
      <c r="A215" s="37" t="s">
        <v>221</v>
      </c>
      <c r="B215" s="67">
        <v>2202</v>
      </c>
      <c r="C215" s="56"/>
      <c r="D215" s="56"/>
      <c r="E215" s="56"/>
      <c r="F215" s="56"/>
      <c r="G215" s="56"/>
      <c r="H215" s="56"/>
      <c r="I215" s="56"/>
      <c r="J215" s="56"/>
      <c r="K215" s="56"/>
      <c r="L215" s="120"/>
      <c r="M215" s="121"/>
      <c r="N215" s="48"/>
      <c r="O215" s="49"/>
      <c r="P215" s="49"/>
    </row>
    <row r="216" spans="1:16" ht="24" hidden="1">
      <c r="A216" s="37" t="s">
        <v>222</v>
      </c>
      <c r="B216" s="67">
        <v>2203</v>
      </c>
      <c r="C216" s="56"/>
      <c r="D216" s="56"/>
      <c r="E216" s="56"/>
      <c r="F216" s="56"/>
      <c r="G216" s="56"/>
      <c r="H216" s="56"/>
      <c r="I216" s="56"/>
      <c r="J216" s="56"/>
      <c r="K216" s="56"/>
      <c r="L216" s="120"/>
      <c r="M216" s="121"/>
      <c r="N216" s="48"/>
      <c r="O216" s="49"/>
      <c r="P216" s="49"/>
    </row>
    <row r="217" spans="1:16" ht="24" hidden="1">
      <c r="A217" s="37" t="s">
        <v>126</v>
      </c>
      <c r="B217" s="67">
        <v>2204</v>
      </c>
      <c r="C217" s="56"/>
      <c r="D217" s="56"/>
      <c r="E217" s="56"/>
      <c r="F217" s="56"/>
      <c r="G217" s="56"/>
      <c r="H217" s="56"/>
      <c r="I217" s="56"/>
      <c r="J217" s="56"/>
      <c r="K217" s="56"/>
      <c r="L217" s="120"/>
      <c r="M217" s="121"/>
      <c r="N217" s="48"/>
      <c r="O217" s="49"/>
      <c r="P217" s="49"/>
    </row>
    <row r="218" spans="1:16" ht="48" hidden="1">
      <c r="A218" s="37" t="s">
        <v>223</v>
      </c>
      <c r="B218" s="67">
        <v>2205</v>
      </c>
      <c r="C218" s="56"/>
      <c r="D218" s="56"/>
      <c r="E218" s="56"/>
      <c r="F218" s="56"/>
      <c r="G218" s="56"/>
      <c r="H218" s="56"/>
      <c r="I218" s="56"/>
      <c r="J218" s="56"/>
      <c r="K218" s="56"/>
      <c r="L218" s="120"/>
      <c r="M218" s="121"/>
      <c r="N218" s="48"/>
      <c r="O218" s="49"/>
      <c r="P218" s="49"/>
    </row>
    <row r="219" spans="1:16" ht="60" hidden="1">
      <c r="A219" s="37" t="s">
        <v>224</v>
      </c>
      <c r="B219" s="67">
        <v>2206</v>
      </c>
      <c r="C219" s="56"/>
      <c r="D219" s="56"/>
      <c r="E219" s="56"/>
      <c r="F219" s="56"/>
      <c r="G219" s="56"/>
      <c r="H219" s="56"/>
      <c r="I219" s="56"/>
      <c r="J219" s="56"/>
      <c r="K219" s="56"/>
      <c r="L219" s="120"/>
      <c r="M219" s="121"/>
      <c r="N219" s="48"/>
      <c r="O219" s="49"/>
      <c r="P219" s="49"/>
    </row>
    <row r="220" spans="1:16" ht="12" hidden="1">
      <c r="A220" s="37" t="s">
        <v>225</v>
      </c>
      <c r="B220" s="67">
        <v>2207</v>
      </c>
      <c r="C220" s="56"/>
      <c r="D220" s="56"/>
      <c r="E220" s="56"/>
      <c r="F220" s="56"/>
      <c r="G220" s="56"/>
      <c r="H220" s="56"/>
      <c r="I220" s="56"/>
      <c r="J220" s="56"/>
      <c r="K220" s="56"/>
      <c r="L220" s="120"/>
      <c r="M220" s="121"/>
      <c r="N220" s="48"/>
      <c r="O220" s="49"/>
      <c r="P220" s="49"/>
    </row>
    <row r="221" spans="1:16" ht="12" hidden="1">
      <c r="A221" s="37" t="s">
        <v>130</v>
      </c>
      <c r="B221" s="67">
        <v>2208</v>
      </c>
      <c r="C221" s="56"/>
      <c r="D221" s="56"/>
      <c r="E221" s="56"/>
      <c r="F221" s="56"/>
      <c r="G221" s="56"/>
      <c r="H221" s="56"/>
      <c r="I221" s="56"/>
      <c r="J221" s="56"/>
      <c r="K221" s="56"/>
      <c r="L221" s="120"/>
      <c r="M221" s="121"/>
      <c r="N221" s="48"/>
      <c r="O221" s="49"/>
      <c r="P221" s="49"/>
    </row>
    <row r="222" spans="1:16" ht="72" hidden="1">
      <c r="A222" s="37" t="s">
        <v>131</v>
      </c>
      <c r="B222" s="67">
        <v>2209</v>
      </c>
      <c r="C222" s="56"/>
      <c r="D222" s="56"/>
      <c r="E222" s="56"/>
      <c r="F222" s="56"/>
      <c r="G222" s="56"/>
      <c r="H222" s="56"/>
      <c r="I222" s="56"/>
      <c r="J222" s="56"/>
      <c r="K222" s="56"/>
      <c r="L222" s="120"/>
      <c r="M222" s="121"/>
      <c r="N222" s="48"/>
      <c r="O222" s="49"/>
      <c r="P222" s="49"/>
    </row>
    <row r="223" spans="1:16" ht="84" hidden="1">
      <c r="A223" s="37" t="s">
        <v>132</v>
      </c>
      <c r="B223" s="67">
        <v>2210</v>
      </c>
      <c r="C223" s="56"/>
      <c r="D223" s="56"/>
      <c r="E223" s="56"/>
      <c r="F223" s="56"/>
      <c r="G223" s="56"/>
      <c r="H223" s="56"/>
      <c r="I223" s="56"/>
      <c r="J223" s="56"/>
      <c r="K223" s="56"/>
      <c r="L223" s="120"/>
      <c r="M223" s="121"/>
      <c r="N223" s="48"/>
      <c r="O223" s="49"/>
      <c r="P223" s="49"/>
    </row>
    <row r="224" spans="1:16" ht="36" hidden="1">
      <c r="A224" s="37" t="s">
        <v>133</v>
      </c>
      <c r="B224" s="67">
        <v>2211</v>
      </c>
      <c r="C224" s="56"/>
      <c r="D224" s="56"/>
      <c r="E224" s="56"/>
      <c r="F224" s="56"/>
      <c r="G224" s="56"/>
      <c r="H224" s="56"/>
      <c r="I224" s="56"/>
      <c r="J224" s="56"/>
      <c r="K224" s="56"/>
      <c r="L224" s="120"/>
      <c r="M224" s="121"/>
      <c r="N224" s="48"/>
      <c r="O224" s="49"/>
      <c r="P224" s="49"/>
    </row>
    <row r="225" spans="1:16" ht="60" hidden="1">
      <c r="A225" s="37" t="s">
        <v>135</v>
      </c>
      <c r="B225" s="67">
        <v>2212</v>
      </c>
      <c r="C225" s="56"/>
      <c r="D225" s="56"/>
      <c r="E225" s="56"/>
      <c r="F225" s="56"/>
      <c r="G225" s="56"/>
      <c r="H225" s="56"/>
      <c r="I225" s="56"/>
      <c r="J225" s="56"/>
      <c r="K225" s="56"/>
      <c r="L225" s="120"/>
      <c r="M225" s="121"/>
      <c r="N225" s="48"/>
      <c r="O225" s="49"/>
      <c r="P225" s="49"/>
    </row>
    <row r="226" spans="1:16" ht="72" hidden="1">
      <c r="A226" s="37" t="s">
        <v>226</v>
      </c>
      <c r="B226" s="67">
        <v>2213</v>
      </c>
      <c r="C226" s="56"/>
      <c r="D226" s="56"/>
      <c r="E226" s="56"/>
      <c r="F226" s="56"/>
      <c r="G226" s="56"/>
      <c r="H226" s="56"/>
      <c r="I226" s="56"/>
      <c r="J226" s="56"/>
      <c r="K226" s="56"/>
      <c r="L226" s="120"/>
      <c r="M226" s="121"/>
      <c r="N226" s="48"/>
      <c r="O226" s="49"/>
      <c r="P226" s="49"/>
    </row>
    <row r="227" spans="1:16" ht="48" hidden="1">
      <c r="A227" s="37" t="s">
        <v>227</v>
      </c>
      <c r="B227" s="67">
        <v>2214</v>
      </c>
      <c r="C227" s="56"/>
      <c r="D227" s="56"/>
      <c r="E227" s="56"/>
      <c r="F227" s="56"/>
      <c r="G227" s="56"/>
      <c r="H227" s="56"/>
      <c r="I227" s="56"/>
      <c r="J227" s="56"/>
      <c r="K227" s="56"/>
      <c r="L227" s="120"/>
      <c r="M227" s="121"/>
      <c r="N227" s="48"/>
      <c r="O227" s="49"/>
      <c r="P227" s="49"/>
    </row>
    <row r="228" spans="1:16" ht="108" hidden="1">
      <c r="A228" s="25" t="s">
        <v>228</v>
      </c>
      <c r="B228" s="68">
        <v>2300</v>
      </c>
      <c r="C228" s="57" t="s">
        <v>12</v>
      </c>
      <c r="D228" s="58" t="s">
        <v>12</v>
      </c>
      <c r="E228" s="58" t="s">
        <v>12</v>
      </c>
      <c r="F228" s="57" t="s">
        <v>12</v>
      </c>
      <c r="G228" s="58" t="s">
        <v>12</v>
      </c>
      <c r="H228" s="58" t="s">
        <v>12</v>
      </c>
      <c r="I228" s="58"/>
      <c r="J228" s="58"/>
      <c r="K228" s="58"/>
      <c r="L228" s="124" t="s">
        <v>12</v>
      </c>
      <c r="M228" s="125" t="s">
        <v>12</v>
      </c>
      <c r="N228" s="50"/>
      <c r="O228" s="51">
        <f>SUM(O229:O230)</f>
        <v>0</v>
      </c>
      <c r="P228" s="51">
        <f>SUM(P229:P230)</f>
        <v>0</v>
      </c>
    </row>
    <row r="229" spans="1:16" ht="12" hidden="1">
      <c r="A229" s="37" t="s">
        <v>13</v>
      </c>
      <c r="B229" s="67">
        <v>2301</v>
      </c>
      <c r="C229" s="17"/>
      <c r="D229" s="23"/>
      <c r="E229" s="23"/>
      <c r="F229" s="17"/>
      <c r="G229" s="23"/>
      <c r="H229" s="23"/>
      <c r="I229" s="23"/>
      <c r="J229" s="23"/>
      <c r="K229" s="23"/>
      <c r="L229" s="122"/>
      <c r="M229" s="123"/>
      <c r="N229" s="48"/>
      <c r="O229" s="49"/>
      <c r="P229" s="49"/>
    </row>
    <row r="230" spans="1:16" ht="12" hidden="1">
      <c r="A230" s="37" t="s">
        <v>13</v>
      </c>
      <c r="B230" s="67">
        <v>2302</v>
      </c>
      <c r="C230" s="17"/>
      <c r="D230" s="23"/>
      <c r="E230" s="23"/>
      <c r="F230" s="17"/>
      <c r="G230" s="23"/>
      <c r="H230" s="23"/>
      <c r="I230" s="23"/>
      <c r="J230" s="23"/>
      <c r="K230" s="23"/>
      <c r="L230" s="122"/>
      <c r="M230" s="123"/>
      <c r="N230" s="48"/>
      <c r="O230" s="49"/>
      <c r="P230" s="49"/>
    </row>
    <row r="231" spans="1:16" ht="96" hidden="1">
      <c r="A231" s="25" t="s">
        <v>229</v>
      </c>
      <c r="B231" s="68">
        <v>2400</v>
      </c>
      <c r="C231" s="57" t="s">
        <v>12</v>
      </c>
      <c r="D231" s="58" t="s">
        <v>12</v>
      </c>
      <c r="E231" s="58" t="s">
        <v>12</v>
      </c>
      <c r="F231" s="57" t="s">
        <v>12</v>
      </c>
      <c r="G231" s="58" t="s">
        <v>12</v>
      </c>
      <c r="H231" s="58" t="s">
        <v>12</v>
      </c>
      <c r="I231" s="58"/>
      <c r="J231" s="58"/>
      <c r="K231" s="58"/>
      <c r="L231" s="124" t="s">
        <v>12</v>
      </c>
      <c r="M231" s="125" t="s">
        <v>12</v>
      </c>
      <c r="N231" s="50"/>
      <c r="O231" s="51">
        <f>SUM(O232:O233)</f>
        <v>0</v>
      </c>
      <c r="P231" s="51">
        <f>SUM(P232:P233)</f>
        <v>0</v>
      </c>
    </row>
    <row r="232" spans="1:16" ht="12" hidden="1">
      <c r="A232" s="37" t="s">
        <v>13</v>
      </c>
      <c r="B232" s="67">
        <v>2401</v>
      </c>
      <c r="C232" s="17"/>
      <c r="D232" s="23"/>
      <c r="E232" s="23"/>
      <c r="F232" s="17"/>
      <c r="G232" s="23"/>
      <c r="H232" s="23"/>
      <c r="I232" s="23"/>
      <c r="J232" s="23"/>
      <c r="K232" s="23"/>
      <c r="L232" s="122"/>
      <c r="M232" s="123"/>
      <c r="N232" s="48"/>
      <c r="O232" s="49"/>
      <c r="P232" s="49"/>
    </row>
    <row r="233" spans="1:16" ht="12" hidden="1">
      <c r="A233" s="37" t="s">
        <v>13</v>
      </c>
      <c r="B233" s="67">
        <v>2402</v>
      </c>
      <c r="C233" s="17"/>
      <c r="D233" s="23"/>
      <c r="E233" s="23"/>
      <c r="F233" s="17"/>
      <c r="G233" s="23"/>
      <c r="H233" s="23"/>
      <c r="I233" s="23"/>
      <c r="J233" s="23"/>
      <c r="K233" s="23"/>
      <c r="L233" s="122"/>
      <c r="M233" s="123"/>
      <c r="N233" s="48"/>
      <c r="O233" s="49"/>
      <c r="P233" s="49"/>
    </row>
    <row r="234" spans="1:16" ht="132" hidden="1">
      <c r="A234" s="25" t="s">
        <v>25</v>
      </c>
      <c r="B234" s="68">
        <v>2500</v>
      </c>
      <c r="C234" s="57" t="s">
        <v>12</v>
      </c>
      <c r="D234" s="58" t="s">
        <v>12</v>
      </c>
      <c r="E234" s="58" t="s">
        <v>12</v>
      </c>
      <c r="F234" s="57" t="s">
        <v>12</v>
      </c>
      <c r="G234" s="58" t="s">
        <v>12</v>
      </c>
      <c r="H234" s="58" t="s">
        <v>12</v>
      </c>
      <c r="I234" s="58"/>
      <c r="J234" s="58"/>
      <c r="K234" s="58"/>
      <c r="L234" s="124" t="s">
        <v>12</v>
      </c>
      <c r="M234" s="125" t="s">
        <v>12</v>
      </c>
      <c r="N234" s="50"/>
      <c r="O234" s="51">
        <f>O235+O273</f>
        <v>0</v>
      </c>
      <c r="P234" s="51">
        <f>P235+P273</f>
        <v>0</v>
      </c>
    </row>
    <row r="235" spans="1:16" ht="48" hidden="1">
      <c r="A235" s="25" t="s">
        <v>230</v>
      </c>
      <c r="B235" s="68">
        <v>2501</v>
      </c>
      <c r="C235" s="57" t="s">
        <v>12</v>
      </c>
      <c r="D235" s="58" t="s">
        <v>12</v>
      </c>
      <c r="E235" s="58" t="s">
        <v>12</v>
      </c>
      <c r="F235" s="57" t="s">
        <v>12</v>
      </c>
      <c r="G235" s="58" t="s">
        <v>12</v>
      </c>
      <c r="H235" s="58" t="s">
        <v>12</v>
      </c>
      <c r="I235" s="58"/>
      <c r="J235" s="58"/>
      <c r="K235" s="58"/>
      <c r="L235" s="124" t="s">
        <v>12</v>
      </c>
      <c r="M235" s="125" t="s">
        <v>12</v>
      </c>
      <c r="N235" s="50"/>
      <c r="O235" s="51">
        <f>SUM(O236:O272)</f>
        <v>0</v>
      </c>
      <c r="P235" s="51">
        <f>SUM(P236:P272)</f>
        <v>0</v>
      </c>
    </row>
    <row r="236" spans="1:16" ht="48" hidden="1">
      <c r="A236" s="37" t="s">
        <v>141</v>
      </c>
      <c r="B236" s="67">
        <v>2502</v>
      </c>
      <c r="C236" s="17"/>
      <c r="D236" s="23"/>
      <c r="E236" s="23"/>
      <c r="F236" s="17"/>
      <c r="G236" s="23"/>
      <c r="H236" s="23"/>
      <c r="I236" s="23"/>
      <c r="J236" s="23"/>
      <c r="K236" s="23"/>
      <c r="L236" s="122"/>
      <c r="M236" s="123"/>
      <c r="N236" s="48"/>
      <c r="O236" s="49"/>
      <c r="P236" s="49"/>
    </row>
    <row r="237" spans="1:16" ht="60" hidden="1">
      <c r="A237" s="37" t="s">
        <v>142</v>
      </c>
      <c r="B237" s="67">
        <v>2503</v>
      </c>
      <c r="C237" s="17"/>
      <c r="D237" s="23"/>
      <c r="E237" s="23"/>
      <c r="F237" s="17"/>
      <c r="G237" s="23"/>
      <c r="H237" s="23"/>
      <c r="I237" s="23"/>
      <c r="J237" s="23"/>
      <c r="K237" s="23"/>
      <c r="L237" s="122"/>
      <c r="M237" s="123"/>
      <c r="N237" s="48"/>
      <c r="O237" s="49"/>
      <c r="P237" s="49"/>
    </row>
    <row r="238" spans="1:16" ht="60" hidden="1">
      <c r="A238" s="37" t="s">
        <v>143</v>
      </c>
      <c r="B238" s="67">
        <v>2504</v>
      </c>
      <c r="C238" s="17"/>
      <c r="D238" s="23"/>
      <c r="E238" s="23"/>
      <c r="F238" s="17"/>
      <c r="G238" s="23"/>
      <c r="H238" s="23"/>
      <c r="I238" s="23"/>
      <c r="J238" s="23"/>
      <c r="K238" s="23"/>
      <c r="L238" s="122"/>
      <c r="M238" s="123"/>
      <c r="N238" s="48"/>
      <c r="O238" s="49"/>
      <c r="P238" s="49"/>
    </row>
    <row r="239" spans="1:16" ht="60" hidden="1">
      <c r="A239" s="37" t="s">
        <v>144</v>
      </c>
      <c r="B239" s="67">
        <v>2505</v>
      </c>
      <c r="C239" s="17"/>
      <c r="D239" s="23"/>
      <c r="E239" s="23"/>
      <c r="F239" s="17"/>
      <c r="G239" s="23"/>
      <c r="H239" s="23"/>
      <c r="I239" s="23"/>
      <c r="J239" s="23"/>
      <c r="K239" s="23"/>
      <c r="L239" s="122"/>
      <c r="M239" s="123"/>
      <c r="N239" s="48"/>
      <c r="O239" s="49"/>
      <c r="P239" s="49"/>
    </row>
    <row r="240" spans="1:16" ht="36" hidden="1">
      <c r="A240" s="37" t="s">
        <v>145</v>
      </c>
      <c r="B240" s="67">
        <v>2506</v>
      </c>
      <c r="C240" s="17"/>
      <c r="D240" s="23"/>
      <c r="E240" s="23"/>
      <c r="F240" s="17"/>
      <c r="G240" s="23"/>
      <c r="H240" s="23"/>
      <c r="I240" s="23"/>
      <c r="J240" s="23"/>
      <c r="K240" s="23"/>
      <c r="L240" s="122"/>
      <c r="M240" s="123"/>
      <c r="N240" s="48"/>
      <c r="O240" s="49"/>
      <c r="P240" s="49"/>
    </row>
    <row r="241" spans="1:16" ht="24" hidden="1">
      <c r="A241" s="37" t="s">
        <v>146</v>
      </c>
      <c r="B241" s="67">
        <v>2507</v>
      </c>
      <c r="C241" s="17"/>
      <c r="D241" s="23"/>
      <c r="E241" s="23"/>
      <c r="F241" s="17"/>
      <c r="G241" s="23"/>
      <c r="H241" s="23"/>
      <c r="I241" s="23"/>
      <c r="J241" s="23"/>
      <c r="K241" s="23"/>
      <c r="L241" s="122"/>
      <c r="M241" s="123"/>
      <c r="N241" s="48"/>
      <c r="O241" s="49"/>
      <c r="P241" s="49"/>
    </row>
    <row r="242" spans="1:16" ht="36" hidden="1">
      <c r="A242" s="37" t="s">
        <v>147</v>
      </c>
      <c r="B242" s="67">
        <v>2508</v>
      </c>
      <c r="C242" s="17"/>
      <c r="D242" s="23"/>
      <c r="E242" s="23"/>
      <c r="F242" s="17"/>
      <c r="G242" s="23"/>
      <c r="H242" s="23"/>
      <c r="I242" s="23"/>
      <c r="J242" s="23"/>
      <c r="K242" s="23"/>
      <c r="L242" s="122"/>
      <c r="M242" s="123"/>
      <c r="N242" s="48"/>
      <c r="O242" s="49"/>
      <c r="P242" s="49"/>
    </row>
    <row r="243" spans="1:16" ht="36" hidden="1">
      <c r="A243" s="37" t="s">
        <v>148</v>
      </c>
      <c r="B243" s="67">
        <v>2509</v>
      </c>
      <c r="C243" s="17"/>
      <c r="D243" s="23"/>
      <c r="E243" s="23"/>
      <c r="F243" s="17"/>
      <c r="G243" s="23"/>
      <c r="H243" s="23"/>
      <c r="I243" s="23"/>
      <c r="J243" s="23"/>
      <c r="K243" s="23"/>
      <c r="L243" s="122"/>
      <c r="M243" s="123"/>
      <c r="N243" s="48"/>
      <c r="O243" s="49"/>
      <c r="P243" s="49"/>
    </row>
    <row r="244" spans="1:16" ht="24" hidden="1">
      <c r="A244" s="37" t="s">
        <v>149</v>
      </c>
      <c r="B244" s="67">
        <v>2510</v>
      </c>
      <c r="C244" s="17"/>
      <c r="D244" s="23"/>
      <c r="E244" s="23"/>
      <c r="F244" s="17"/>
      <c r="G244" s="23"/>
      <c r="H244" s="23"/>
      <c r="I244" s="23"/>
      <c r="J244" s="23"/>
      <c r="K244" s="23"/>
      <c r="L244" s="122"/>
      <c r="M244" s="123"/>
      <c r="N244" s="48"/>
      <c r="O244" s="49"/>
      <c r="P244" s="49"/>
    </row>
    <row r="245" spans="1:16" ht="48" hidden="1">
      <c r="A245" s="37" t="s">
        <v>150</v>
      </c>
      <c r="B245" s="67">
        <v>2511</v>
      </c>
      <c r="C245" s="17"/>
      <c r="D245" s="23"/>
      <c r="E245" s="23"/>
      <c r="F245" s="17"/>
      <c r="G245" s="23"/>
      <c r="H245" s="23"/>
      <c r="I245" s="23"/>
      <c r="J245" s="23"/>
      <c r="K245" s="23"/>
      <c r="L245" s="122"/>
      <c r="M245" s="123"/>
      <c r="N245" s="48"/>
      <c r="O245" s="49"/>
      <c r="P245" s="49"/>
    </row>
    <row r="246" spans="1:16" ht="24" hidden="1">
      <c r="A246" s="37" t="s">
        <v>151</v>
      </c>
      <c r="B246" s="67">
        <v>2512</v>
      </c>
      <c r="C246" s="17"/>
      <c r="D246" s="23"/>
      <c r="E246" s="23"/>
      <c r="F246" s="17"/>
      <c r="G246" s="23"/>
      <c r="H246" s="23"/>
      <c r="I246" s="23"/>
      <c r="J246" s="23"/>
      <c r="K246" s="23"/>
      <c r="L246" s="122"/>
      <c r="M246" s="123"/>
      <c r="N246" s="48"/>
      <c r="O246" s="49"/>
      <c r="P246" s="49"/>
    </row>
    <row r="247" spans="1:16" ht="72" hidden="1">
      <c r="A247" s="37" t="s">
        <v>181</v>
      </c>
      <c r="B247" s="67">
        <v>2513</v>
      </c>
      <c r="C247" s="17"/>
      <c r="D247" s="23"/>
      <c r="E247" s="23"/>
      <c r="F247" s="17"/>
      <c r="G247" s="23"/>
      <c r="H247" s="23"/>
      <c r="I247" s="23"/>
      <c r="J247" s="23"/>
      <c r="K247" s="23"/>
      <c r="L247" s="122"/>
      <c r="M247" s="123"/>
      <c r="N247" s="48"/>
      <c r="O247" s="49"/>
      <c r="P247" s="49"/>
    </row>
    <row r="248" spans="1:16" ht="36" hidden="1">
      <c r="A248" s="37" t="s">
        <v>152</v>
      </c>
      <c r="B248" s="67">
        <v>2514</v>
      </c>
      <c r="C248" s="17"/>
      <c r="D248" s="23"/>
      <c r="E248" s="23"/>
      <c r="F248" s="17"/>
      <c r="G248" s="23"/>
      <c r="H248" s="23"/>
      <c r="I248" s="23"/>
      <c r="J248" s="23"/>
      <c r="K248" s="23"/>
      <c r="L248" s="122"/>
      <c r="M248" s="123"/>
      <c r="N248" s="48"/>
      <c r="O248" s="49"/>
      <c r="P248" s="49"/>
    </row>
    <row r="249" spans="1:16" ht="24" hidden="1">
      <c r="A249" s="37" t="s">
        <v>153</v>
      </c>
      <c r="B249" s="67">
        <v>2515</v>
      </c>
      <c r="C249" s="17"/>
      <c r="D249" s="23"/>
      <c r="E249" s="23"/>
      <c r="F249" s="17"/>
      <c r="G249" s="23"/>
      <c r="H249" s="23"/>
      <c r="I249" s="23"/>
      <c r="J249" s="23"/>
      <c r="K249" s="23"/>
      <c r="L249" s="122"/>
      <c r="M249" s="123"/>
      <c r="N249" s="48"/>
      <c r="O249" s="49"/>
      <c r="P249" s="49"/>
    </row>
    <row r="250" spans="1:16" ht="84" hidden="1">
      <c r="A250" s="37" t="s">
        <v>154</v>
      </c>
      <c r="B250" s="67">
        <v>2516</v>
      </c>
      <c r="C250" s="17"/>
      <c r="D250" s="23"/>
      <c r="E250" s="23"/>
      <c r="F250" s="17"/>
      <c r="G250" s="23"/>
      <c r="H250" s="23"/>
      <c r="I250" s="23"/>
      <c r="J250" s="23"/>
      <c r="K250" s="23"/>
      <c r="L250" s="122"/>
      <c r="M250" s="123"/>
      <c r="N250" s="48"/>
      <c r="O250" s="49"/>
      <c r="P250" s="49"/>
    </row>
    <row r="251" spans="1:16" ht="36" hidden="1">
      <c r="A251" s="37" t="s">
        <v>155</v>
      </c>
      <c r="B251" s="67">
        <v>2517</v>
      </c>
      <c r="C251" s="17"/>
      <c r="D251" s="23"/>
      <c r="E251" s="23"/>
      <c r="F251" s="17"/>
      <c r="G251" s="23"/>
      <c r="H251" s="23"/>
      <c r="I251" s="23"/>
      <c r="J251" s="23"/>
      <c r="K251" s="23"/>
      <c r="L251" s="122"/>
      <c r="M251" s="123"/>
      <c r="N251" s="48"/>
      <c r="O251" s="49"/>
      <c r="P251" s="49"/>
    </row>
    <row r="252" spans="1:16" ht="60" hidden="1">
      <c r="A252" s="37" t="s">
        <v>156</v>
      </c>
      <c r="B252" s="67">
        <v>2518</v>
      </c>
      <c r="C252" s="17"/>
      <c r="D252" s="23"/>
      <c r="E252" s="23"/>
      <c r="F252" s="17"/>
      <c r="G252" s="23"/>
      <c r="H252" s="23"/>
      <c r="I252" s="23"/>
      <c r="J252" s="23"/>
      <c r="K252" s="23"/>
      <c r="L252" s="122"/>
      <c r="M252" s="123"/>
      <c r="N252" s="48"/>
      <c r="O252" s="49"/>
      <c r="P252" s="49"/>
    </row>
    <row r="253" spans="1:16" ht="36" hidden="1">
      <c r="A253" s="37" t="s">
        <v>157</v>
      </c>
      <c r="B253" s="67">
        <v>2519</v>
      </c>
      <c r="C253" s="17"/>
      <c r="D253" s="23"/>
      <c r="E253" s="23"/>
      <c r="F253" s="17"/>
      <c r="G253" s="23"/>
      <c r="H253" s="23"/>
      <c r="I253" s="23"/>
      <c r="J253" s="23"/>
      <c r="K253" s="23"/>
      <c r="L253" s="122"/>
      <c r="M253" s="123"/>
      <c r="N253" s="48"/>
      <c r="O253" s="49"/>
      <c r="P253" s="49"/>
    </row>
    <row r="254" spans="1:16" ht="72" hidden="1">
      <c r="A254" s="37" t="s">
        <v>158</v>
      </c>
      <c r="B254" s="67">
        <v>2520</v>
      </c>
      <c r="C254" s="17"/>
      <c r="D254" s="23"/>
      <c r="E254" s="23"/>
      <c r="F254" s="17"/>
      <c r="G254" s="23"/>
      <c r="H254" s="23"/>
      <c r="I254" s="23"/>
      <c r="J254" s="23"/>
      <c r="K254" s="23"/>
      <c r="L254" s="122"/>
      <c r="M254" s="123"/>
      <c r="N254" s="48"/>
      <c r="O254" s="49"/>
      <c r="P254" s="49"/>
    </row>
    <row r="255" spans="1:16" ht="168" hidden="1">
      <c r="A255" s="37" t="s">
        <v>159</v>
      </c>
      <c r="B255" s="67">
        <v>2521</v>
      </c>
      <c r="C255" s="17"/>
      <c r="D255" s="23"/>
      <c r="E255" s="23"/>
      <c r="F255" s="17"/>
      <c r="G255" s="23"/>
      <c r="H255" s="23"/>
      <c r="I255" s="23"/>
      <c r="J255" s="23"/>
      <c r="K255" s="23"/>
      <c r="L255" s="122"/>
      <c r="M255" s="123"/>
      <c r="N255" s="48"/>
      <c r="O255" s="49"/>
      <c r="P255" s="49"/>
    </row>
    <row r="256" spans="1:16" ht="48" hidden="1">
      <c r="A256" s="37" t="s">
        <v>160</v>
      </c>
      <c r="B256" s="67">
        <v>2522</v>
      </c>
      <c r="C256" s="17"/>
      <c r="D256" s="23"/>
      <c r="E256" s="23"/>
      <c r="F256" s="17"/>
      <c r="G256" s="23"/>
      <c r="H256" s="23"/>
      <c r="I256" s="23"/>
      <c r="J256" s="23"/>
      <c r="K256" s="23"/>
      <c r="L256" s="122"/>
      <c r="M256" s="123"/>
      <c r="N256" s="48"/>
      <c r="O256" s="49"/>
      <c r="P256" s="49"/>
    </row>
    <row r="257" spans="1:16" ht="36" hidden="1">
      <c r="A257" s="37" t="s">
        <v>157</v>
      </c>
      <c r="B257" s="67">
        <v>2523</v>
      </c>
      <c r="C257" s="17"/>
      <c r="D257" s="23"/>
      <c r="E257" s="23"/>
      <c r="F257" s="17"/>
      <c r="G257" s="23"/>
      <c r="H257" s="23"/>
      <c r="I257" s="23"/>
      <c r="J257" s="23"/>
      <c r="K257" s="23"/>
      <c r="L257" s="122"/>
      <c r="M257" s="123"/>
      <c r="N257" s="48"/>
      <c r="O257" s="49"/>
      <c r="P257" s="49"/>
    </row>
    <row r="258" spans="1:16" ht="24" hidden="1">
      <c r="A258" s="37" t="s">
        <v>161</v>
      </c>
      <c r="B258" s="67">
        <v>2524</v>
      </c>
      <c r="C258" s="17"/>
      <c r="D258" s="23"/>
      <c r="E258" s="23"/>
      <c r="F258" s="17"/>
      <c r="G258" s="23"/>
      <c r="H258" s="23"/>
      <c r="I258" s="23"/>
      <c r="J258" s="23"/>
      <c r="K258" s="23"/>
      <c r="L258" s="122"/>
      <c r="M258" s="123"/>
      <c r="N258" s="48"/>
      <c r="O258" s="49"/>
      <c r="P258" s="49"/>
    </row>
    <row r="259" spans="1:16" ht="48" hidden="1">
      <c r="A259" s="37" t="s">
        <v>162</v>
      </c>
      <c r="B259" s="67">
        <v>2525</v>
      </c>
      <c r="C259" s="17"/>
      <c r="D259" s="23"/>
      <c r="E259" s="23"/>
      <c r="F259" s="17"/>
      <c r="G259" s="23"/>
      <c r="H259" s="23"/>
      <c r="I259" s="23"/>
      <c r="J259" s="23"/>
      <c r="K259" s="23"/>
      <c r="L259" s="122"/>
      <c r="M259" s="123"/>
      <c r="N259" s="48"/>
      <c r="O259" s="49"/>
      <c r="P259" s="49"/>
    </row>
    <row r="260" spans="1:16" ht="36" hidden="1">
      <c r="A260" s="37" t="s">
        <v>157</v>
      </c>
      <c r="B260" s="67">
        <v>2526</v>
      </c>
      <c r="C260" s="17"/>
      <c r="D260" s="23"/>
      <c r="E260" s="23"/>
      <c r="F260" s="17"/>
      <c r="G260" s="23"/>
      <c r="H260" s="23"/>
      <c r="I260" s="23"/>
      <c r="J260" s="23"/>
      <c r="K260" s="23"/>
      <c r="L260" s="122"/>
      <c r="M260" s="123"/>
      <c r="N260" s="48"/>
      <c r="O260" s="49"/>
      <c r="P260" s="49"/>
    </row>
    <row r="261" spans="1:16" ht="72" hidden="1">
      <c r="A261" s="37" t="s">
        <v>163</v>
      </c>
      <c r="B261" s="67">
        <v>2527</v>
      </c>
      <c r="C261" s="17"/>
      <c r="D261" s="23"/>
      <c r="E261" s="23"/>
      <c r="F261" s="17"/>
      <c r="G261" s="23"/>
      <c r="H261" s="23"/>
      <c r="I261" s="23"/>
      <c r="J261" s="23"/>
      <c r="K261" s="23"/>
      <c r="L261" s="122"/>
      <c r="M261" s="123"/>
      <c r="N261" s="48"/>
      <c r="O261" s="49"/>
      <c r="P261" s="49"/>
    </row>
    <row r="262" spans="1:16" ht="96" hidden="1">
      <c r="A262" s="37" t="s">
        <v>164</v>
      </c>
      <c r="B262" s="67">
        <v>2528</v>
      </c>
      <c r="C262" s="17"/>
      <c r="D262" s="23"/>
      <c r="E262" s="23"/>
      <c r="F262" s="17"/>
      <c r="G262" s="23"/>
      <c r="H262" s="23"/>
      <c r="I262" s="23"/>
      <c r="J262" s="23"/>
      <c r="K262" s="23"/>
      <c r="L262" s="122"/>
      <c r="M262" s="123"/>
      <c r="N262" s="48"/>
      <c r="O262" s="49"/>
      <c r="P262" s="49"/>
    </row>
    <row r="263" spans="1:16" ht="96" hidden="1">
      <c r="A263" s="37" t="s">
        <v>165</v>
      </c>
      <c r="B263" s="67">
        <v>2529</v>
      </c>
      <c r="C263" s="17"/>
      <c r="D263" s="23"/>
      <c r="E263" s="23"/>
      <c r="F263" s="17"/>
      <c r="G263" s="23"/>
      <c r="H263" s="23"/>
      <c r="I263" s="23"/>
      <c r="J263" s="23"/>
      <c r="K263" s="23"/>
      <c r="L263" s="122"/>
      <c r="M263" s="123"/>
      <c r="N263" s="48"/>
      <c r="O263" s="49"/>
      <c r="P263" s="49"/>
    </row>
    <row r="264" spans="1:16" ht="60" hidden="1">
      <c r="A264" s="37" t="s">
        <v>166</v>
      </c>
      <c r="B264" s="67">
        <v>2530</v>
      </c>
      <c r="C264" s="17"/>
      <c r="D264" s="23"/>
      <c r="E264" s="23"/>
      <c r="F264" s="17"/>
      <c r="G264" s="23"/>
      <c r="H264" s="23"/>
      <c r="I264" s="23"/>
      <c r="J264" s="23"/>
      <c r="K264" s="23"/>
      <c r="L264" s="122"/>
      <c r="M264" s="123"/>
      <c r="N264" s="48"/>
      <c r="O264" s="49"/>
      <c r="P264" s="49"/>
    </row>
    <row r="265" spans="1:16" ht="96" hidden="1">
      <c r="A265" s="37" t="s">
        <v>167</v>
      </c>
      <c r="B265" s="67">
        <v>2531</v>
      </c>
      <c r="C265" s="17"/>
      <c r="D265" s="23"/>
      <c r="E265" s="23"/>
      <c r="F265" s="17"/>
      <c r="G265" s="23"/>
      <c r="H265" s="23"/>
      <c r="I265" s="23"/>
      <c r="J265" s="23"/>
      <c r="K265" s="23"/>
      <c r="L265" s="122"/>
      <c r="M265" s="123"/>
      <c r="N265" s="48"/>
      <c r="O265" s="49"/>
      <c r="P265" s="49"/>
    </row>
    <row r="266" spans="1:16" ht="72" hidden="1">
      <c r="A266" s="37" t="s">
        <v>168</v>
      </c>
      <c r="B266" s="67">
        <v>2532</v>
      </c>
      <c r="C266" s="17"/>
      <c r="D266" s="23"/>
      <c r="E266" s="23"/>
      <c r="F266" s="17"/>
      <c r="G266" s="23"/>
      <c r="H266" s="23"/>
      <c r="I266" s="23"/>
      <c r="J266" s="23"/>
      <c r="K266" s="23"/>
      <c r="L266" s="122"/>
      <c r="M266" s="123"/>
      <c r="N266" s="48"/>
      <c r="O266" s="49"/>
      <c r="P266" s="49"/>
    </row>
    <row r="267" spans="1:16" ht="24" hidden="1">
      <c r="A267" s="37" t="s">
        <v>169</v>
      </c>
      <c r="B267" s="67">
        <v>2533</v>
      </c>
      <c r="C267" s="17"/>
      <c r="D267" s="23"/>
      <c r="E267" s="23"/>
      <c r="F267" s="17"/>
      <c r="G267" s="23"/>
      <c r="H267" s="23"/>
      <c r="I267" s="23"/>
      <c r="J267" s="23"/>
      <c r="K267" s="23"/>
      <c r="L267" s="122"/>
      <c r="M267" s="123"/>
      <c r="N267" s="48"/>
      <c r="O267" s="49"/>
      <c r="P267" s="49"/>
    </row>
    <row r="268" spans="1:16" ht="24" hidden="1">
      <c r="A268" s="37" t="s">
        <v>170</v>
      </c>
      <c r="B268" s="67">
        <v>2534</v>
      </c>
      <c r="C268" s="17"/>
      <c r="D268" s="23"/>
      <c r="E268" s="23"/>
      <c r="F268" s="17"/>
      <c r="G268" s="23"/>
      <c r="H268" s="23"/>
      <c r="I268" s="23"/>
      <c r="J268" s="23"/>
      <c r="K268" s="23"/>
      <c r="L268" s="122"/>
      <c r="M268" s="123"/>
      <c r="N268" s="48"/>
      <c r="O268" s="49"/>
      <c r="P268" s="49"/>
    </row>
    <row r="269" spans="1:16" ht="60" hidden="1">
      <c r="A269" s="37" t="s">
        <v>171</v>
      </c>
      <c r="B269" s="67">
        <v>2535</v>
      </c>
      <c r="C269" s="17"/>
      <c r="D269" s="23"/>
      <c r="E269" s="23"/>
      <c r="F269" s="17"/>
      <c r="G269" s="23"/>
      <c r="H269" s="23"/>
      <c r="I269" s="23"/>
      <c r="J269" s="23"/>
      <c r="K269" s="23"/>
      <c r="L269" s="122"/>
      <c r="M269" s="123"/>
      <c r="N269" s="48"/>
      <c r="O269" s="49"/>
      <c r="P269" s="49"/>
    </row>
    <row r="270" spans="1:16" ht="36" hidden="1">
      <c r="A270" s="37" t="s">
        <v>172</v>
      </c>
      <c r="B270" s="67">
        <v>2536</v>
      </c>
      <c r="C270" s="17"/>
      <c r="D270" s="23"/>
      <c r="E270" s="23"/>
      <c r="F270" s="17"/>
      <c r="G270" s="23"/>
      <c r="H270" s="23"/>
      <c r="I270" s="23"/>
      <c r="J270" s="23"/>
      <c r="K270" s="23"/>
      <c r="L270" s="122"/>
      <c r="M270" s="123"/>
      <c r="N270" s="48"/>
      <c r="O270" s="49"/>
      <c r="P270" s="49"/>
    </row>
    <row r="271" spans="1:16" ht="12" hidden="1">
      <c r="A271" s="37" t="s">
        <v>13</v>
      </c>
      <c r="B271" s="67">
        <v>2537</v>
      </c>
      <c r="C271" s="17"/>
      <c r="D271" s="23"/>
      <c r="E271" s="23"/>
      <c r="F271" s="17"/>
      <c r="G271" s="23"/>
      <c r="H271" s="23"/>
      <c r="I271" s="23"/>
      <c r="J271" s="23"/>
      <c r="K271" s="23"/>
      <c r="L271" s="122"/>
      <c r="M271" s="123"/>
      <c r="N271" s="48"/>
      <c r="O271" s="49"/>
      <c r="P271" s="49"/>
    </row>
    <row r="272" spans="1:16" ht="12" hidden="1">
      <c r="A272" s="37" t="s">
        <v>13</v>
      </c>
      <c r="B272" s="67">
        <v>2538</v>
      </c>
      <c r="C272" s="17"/>
      <c r="D272" s="23"/>
      <c r="E272" s="23"/>
      <c r="F272" s="17"/>
      <c r="G272" s="23"/>
      <c r="H272" s="23"/>
      <c r="I272" s="23"/>
      <c r="J272" s="23"/>
      <c r="K272" s="23"/>
      <c r="L272" s="122"/>
      <c r="M272" s="123"/>
      <c r="N272" s="48"/>
      <c r="O272" s="49"/>
      <c r="P272" s="49"/>
    </row>
    <row r="273" spans="1:16" ht="48" hidden="1">
      <c r="A273" s="25" t="s">
        <v>231</v>
      </c>
      <c r="B273" s="68">
        <v>2600</v>
      </c>
      <c r="C273" s="57" t="s">
        <v>12</v>
      </c>
      <c r="D273" s="58" t="s">
        <v>12</v>
      </c>
      <c r="E273" s="58" t="s">
        <v>12</v>
      </c>
      <c r="F273" s="57" t="s">
        <v>12</v>
      </c>
      <c r="G273" s="58" t="s">
        <v>12</v>
      </c>
      <c r="H273" s="58" t="s">
        <v>12</v>
      </c>
      <c r="I273" s="58"/>
      <c r="J273" s="58"/>
      <c r="K273" s="58"/>
      <c r="L273" s="124" t="s">
        <v>12</v>
      </c>
      <c r="M273" s="125" t="s">
        <v>12</v>
      </c>
      <c r="N273" s="50"/>
      <c r="O273" s="51">
        <f>SUM(O274:O275)</f>
        <v>0</v>
      </c>
      <c r="P273" s="51">
        <f>SUM(P274:P275)</f>
        <v>0</v>
      </c>
    </row>
    <row r="274" spans="1:16" ht="12" hidden="1">
      <c r="A274" s="37" t="s">
        <v>13</v>
      </c>
      <c r="B274" s="67">
        <v>2601</v>
      </c>
      <c r="C274" s="17"/>
      <c r="D274" s="23"/>
      <c r="E274" s="23"/>
      <c r="F274" s="17"/>
      <c r="G274" s="23"/>
      <c r="H274" s="23"/>
      <c r="I274" s="23"/>
      <c r="J274" s="23"/>
      <c r="K274" s="23"/>
      <c r="L274" s="122"/>
      <c r="M274" s="123"/>
      <c r="N274" s="48"/>
      <c r="O274" s="49"/>
      <c r="P274" s="49"/>
    </row>
    <row r="275" spans="1:16" ht="12" hidden="1">
      <c r="A275" s="37" t="s">
        <v>13</v>
      </c>
      <c r="B275" s="67">
        <v>2602</v>
      </c>
      <c r="C275" s="17"/>
      <c r="D275" s="23"/>
      <c r="E275" s="23"/>
      <c r="F275" s="17"/>
      <c r="G275" s="23"/>
      <c r="H275" s="23"/>
      <c r="I275" s="23"/>
      <c r="J275" s="23"/>
      <c r="K275" s="23"/>
      <c r="L275" s="122"/>
      <c r="M275" s="123"/>
      <c r="N275" s="48"/>
      <c r="O275" s="49"/>
      <c r="P275" s="49"/>
    </row>
    <row r="276" spans="1:16" ht="108" hidden="1">
      <c r="A276" s="25" t="s">
        <v>26</v>
      </c>
      <c r="B276" s="68">
        <v>2700</v>
      </c>
      <c r="C276" s="57" t="s">
        <v>12</v>
      </c>
      <c r="D276" s="58" t="s">
        <v>12</v>
      </c>
      <c r="E276" s="58" t="s">
        <v>12</v>
      </c>
      <c r="F276" s="57" t="s">
        <v>12</v>
      </c>
      <c r="G276" s="58" t="s">
        <v>12</v>
      </c>
      <c r="H276" s="58" t="s">
        <v>12</v>
      </c>
      <c r="I276" s="58"/>
      <c r="J276" s="58"/>
      <c r="K276" s="58"/>
      <c r="L276" s="124" t="s">
        <v>12</v>
      </c>
      <c r="M276" s="125" t="s">
        <v>12</v>
      </c>
      <c r="N276" s="50"/>
      <c r="O276" s="51">
        <f>O277+O278</f>
        <v>0</v>
      </c>
      <c r="P276" s="51">
        <f>P277+P278</f>
        <v>0</v>
      </c>
    </row>
    <row r="277" spans="1:16" ht="36" hidden="1">
      <c r="A277" s="25" t="s">
        <v>27</v>
      </c>
      <c r="B277" s="68">
        <v>2701</v>
      </c>
      <c r="C277" s="57"/>
      <c r="D277" s="58"/>
      <c r="E277" s="58"/>
      <c r="F277" s="57"/>
      <c r="G277" s="58"/>
      <c r="H277" s="58"/>
      <c r="I277" s="58"/>
      <c r="J277" s="58"/>
      <c r="K277" s="58"/>
      <c r="L277" s="124"/>
      <c r="M277" s="125"/>
      <c r="N277" s="50"/>
      <c r="O277" s="52"/>
      <c r="P277" s="52"/>
    </row>
    <row r="278" spans="1:16" ht="36" hidden="1">
      <c r="A278" s="25" t="s">
        <v>232</v>
      </c>
      <c r="B278" s="68">
        <v>2702</v>
      </c>
      <c r="C278" s="57" t="s">
        <v>12</v>
      </c>
      <c r="D278" s="58" t="s">
        <v>12</v>
      </c>
      <c r="E278" s="58" t="s">
        <v>12</v>
      </c>
      <c r="F278" s="57" t="s">
        <v>12</v>
      </c>
      <c r="G278" s="58" t="s">
        <v>12</v>
      </c>
      <c r="H278" s="58" t="s">
        <v>12</v>
      </c>
      <c r="I278" s="58"/>
      <c r="J278" s="58"/>
      <c r="K278" s="58"/>
      <c r="L278" s="124" t="s">
        <v>12</v>
      </c>
      <c r="M278" s="125" t="s">
        <v>12</v>
      </c>
      <c r="N278" s="50"/>
      <c r="O278" s="51">
        <f>SUM(O279:O280)</f>
        <v>0</v>
      </c>
      <c r="P278" s="51">
        <f>SUM(P279:P280)</f>
        <v>0</v>
      </c>
    </row>
    <row r="279" spans="1:16" ht="12" hidden="1">
      <c r="A279" s="37" t="s">
        <v>13</v>
      </c>
      <c r="B279" s="67">
        <v>2703</v>
      </c>
      <c r="C279" s="17"/>
      <c r="D279" s="23"/>
      <c r="E279" s="23"/>
      <c r="F279" s="17"/>
      <c r="G279" s="23"/>
      <c r="H279" s="23"/>
      <c r="I279" s="23"/>
      <c r="J279" s="23"/>
      <c r="K279" s="23"/>
      <c r="L279" s="122"/>
      <c r="M279" s="123"/>
      <c r="N279" s="48"/>
      <c r="O279" s="49"/>
      <c r="P279" s="49"/>
    </row>
    <row r="280" spans="1:16" ht="12" hidden="1">
      <c r="A280" s="37" t="s">
        <v>13</v>
      </c>
      <c r="B280" s="67">
        <v>2704</v>
      </c>
      <c r="C280" s="17"/>
      <c r="D280" s="23"/>
      <c r="E280" s="23"/>
      <c r="F280" s="17"/>
      <c r="G280" s="23"/>
      <c r="H280" s="23"/>
      <c r="I280" s="23"/>
      <c r="J280" s="23"/>
      <c r="K280" s="23"/>
      <c r="L280" s="122"/>
      <c r="M280" s="123"/>
      <c r="N280" s="48"/>
      <c r="O280" s="49"/>
      <c r="P280" s="49"/>
    </row>
    <row r="281" spans="1:16" ht="72" hidden="1">
      <c r="A281" s="24" t="s">
        <v>42</v>
      </c>
      <c r="B281" s="68">
        <v>4000</v>
      </c>
      <c r="C281" s="57" t="s">
        <v>12</v>
      </c>
      <c r="D281" s="58" t="s">
        <v>12</v>
      </c>
      <c r="E281" s="58" t="s">
        <v>12</v>
      </c>
      <c r="F281" s="57" t="s">
        <v>12</v>
      </c>
      <c r="G281" s="58" t="s">
        <v>12</v>
      </c>
      <c r="H281" s="58" t="s">
        <v>12</v>
      </c>
      <c r="I281" s="58"/>
      <c r="J281" s="58"/>
      <c r="K281" s="58"/>
      <c r="L281" s="124" t="s">
        <v>12</v>
      </c>
      <c r="M281" s="125" t="s">
        <v>12</v>
      </c>
      <c r="N281" s="50"/>
      <c r="O281" s="51">
        <f>O282+O324+O343+O364+O406</f>
        <v>0</v>
      </c>
      <c r="P281" s="51">
        <f>P282+P324+P343+P364+P406</f>
        <v>0</v>
      </c>
    </row>
    <row r="282" spans="1:16" ht="84" hidden="1">
      <c r="A282" s="25" t="s">
        <v>233</v>
      </c>
      <c r="B282" s="68">
        <v>4001</v>
      </c>
      <c r="C282" s="57" t="s">
        <v>12</v>
      </c>
      <c r="D282" s="58" t="s">
        <v>12</v>
      </c>
      <c r="E282" s="58" t="s">
        <v>12</v>
      </c>
      <c r="F282" s="57" t="s">
        <v>12</v>
      </c>
      <c r="G282" s="58" t="s">
        <v>12</v>
      </c>
      <c r="H282" s="58" t="s">
        <v>12</v>
      </c>
      <c r="I282" s="58"/>
      <c r="J282" s="58"/>
      <c r="K282" s="58"/>
      <c r="L282" s="124" t="s">
        <v>12</v>
      </c>
      <c r="M282" s="125" t="s">
        <v>12</v>
      </c>
      <c r="N282" s="50"/>
      <c r="O282" s="51">
        <f>SUM(O283:O323)</f>
        <v>0</v>
      </c>
      <c r="P282" s="51">
        <f>SUM(P283:P323)</f>
        <v>0</v>
      </c>
    </row>
    <row r="283" spans="1:16" ht="96" hidden="1">
      <c r="A283" s="37" t="s">
        <v>234</v>
      </c>
      <c r="B283" s="67">
        <v>4002</v>
      </c>
      <c r="C283" s="56"/>
      <c r="D283" s="56"/>
      <c r="E283" s="56"/>
      <c r="F283" s="56"/>
      <c r="G283" s="56"/>
      <c r="H283" s="56"/>
      <c r="I283" s="56"/>
      <c r="J283" s="56"/>
      <c r="K283" s="56"/>
      <c r="L283" s="120"/>
      <c r="M283" s="121"/>
      <c r="N283" s="48"/>
      <c r="O283" s="49"/>
      <c r="P283" s="49"/>
    </row>
    <row r="284" spans="1:16" ht="24" hidden="1">
      <c r="A284" s="37" t="s">
        <v>235</v>
      </c>
      <c r="B284" s="67">
        <v>4003</v>
      </c>
      <c r="C284" s="56"/>
      <c r="D284" s="56"/>
      <c r="E284" s="56"/>
      <c r="F284" s="56"/>
      <c r="G284" s="56"/>
      <c r="H284" s="56"/>
      <c r="I284" s="56"/>
      <c r="J284" s="56"/>
      <c r="K284" s="56"/>
      <c r="L284" s="120"/>
      <c r="M284" s="121"/>
      <c r="N284" s="48"/>
      <c r="O284" s="49"/>
      <c r="P284" s="49"/>
    </row>
    <row r="285" spans="1:16" ht="36" hidden="1">
      <c r="A285" s="37" t="s">
        <v>760</v>
      </c>
      <c r="B285" s="67">
        <v>4004</v>
      </c>
      <c r="C285" s="56"/>
      <c r="D285" s="56"/>
      <c r="E285" s="56"/>
      <c r="F285" s="56"/>
      <c r="G285" s="56"/>
      <c r="H285" s="56"/>
      <c r="I285" s="56"/>
      <c r="J285" s="56"/>
      <c r="K285" s="56"/>
      <c r="L285" s="120"/>
      <c r="M285" s="121"/>
      <c r="N285" s="48"/>
      <c r="O285" s="49"/>
      <c r="P285" s="49"/>
    </row>
    <row r="286" spans="1:16" ht="72" hidden="1">
      <c r="A286" s="37" t="s">
        <v>761</v>
      </c>
      <c r="B286" s="67">
        <v>4005</v>
      </c>
      <c r="C286" s="56"/>
      <c r="D286" s="56"/>
      <c r="E286" s="56"/>
      <c r="F286" s="56"/>
      <c r="G286" s="56"/>
      <c r="H286" s="56"/>
      <c r="I286" s="56"/>
      <c r="J286" s="56"/>
      <c r="K286" s="56"/>
      <c r="L286" s="120"/>
      <c r="M286" s="121"/>
      <c r="N286" s="48"/>
      <c r="O286" s="49"/>
      <c r="P286" s="49"/>
    </row>
    <row r="287" spans="1:16" ht="192" hidden="1">
      <c r="A287" s="37" t="s">
        <v>743</v>
      </c>
      <c r="B287" s="67">
        <v>4006</v>
      </c>
      <c r="C287" s="56"/>
      <c r="D287" s="56"/>
      <c r="E287" s="56"/>
      <c r="F287" s="56"/>
      <c r="G287" s="56"/>
      <c r="H287" s="56"/>
      <c r="I287" s="56"/>
      <c r="J287" s="56"/>
      <c r="K287" s="56"/>
      <c r="L287" s="120"/>
      <c r="M287" s="121"/>
      <c r="N287" s="48"/>
      <c r="O287" s="49"/>
      <c r="P287" s="49"/>
    </row>
    <row r="288" spans="1:16" ht="132" hidden="1">
      <c r="A288" s="37" t="s">
        <v>744</v>
      </c>
      <c r="B288" s="67">
        <v>4007</v>
      </c>
      <c r="C288" s="56"/>
      <c r="D288" s="56"/>
      <c r="E288" s="56"/>
      <c r="F288" s="56"/>
      <c r="G288" s="56"/>
      <c r="H288" s="56"/>
      <c r="I288" s="56"/>
      <c r="J288" s="56"/>
      <c r="K288" s="56"/>
      <c r="L288" s="120"/>
      <c r="M288" s="121"/>
      <c r="N288" s="48"/>
      <c r="O288" s="49"/>
      <c r="P288" s="49"/>
    </row>
    <row r="289" spans="1:16" ht="48" hidden="1">
      <c r="A289" s="37" t="s">
        <v>762</v>
      </c>
      <c r="B289" s="67">
        <v>4008</v>
      </c>
      <c r="C289" s="56"/>
      <c r="D289" s="56"/>
      <c r="E289" s="56"/>
      <c r="F289" s="56"/>
      <c r="G289" s="56"/>
      <c r="H289" s="56"/>
      <c r="I289" s="56"/>
      <c r="J289" s="56"/>
      <c r="K289" s="56"/>
      <c r="L289" s="120"/>
      <c r="M289" s="121"/>
      <c r="N289" s="48"/>
      <c r="O289" s="49"/>
      <c r="P289" s="49"/>
    </row>
    <row r="290" spans="1:16" ht="60" hidden="1">
      <c r="A290" s="37" t="s">
        <v>763</v>
      </c>
      <c r="B290" s="67">
        <v>4009</v>
      </c>
      <c r="C290" s="56"/>
      <c r="D290" s="56"/>
      <c r="E290" s="56"/>
      <c r="F290" s="56"/>
      <c r="G290" s="56"/>
      <c r="H290" s="56"/>
      <c r="I290" s="56"/>
      <c r="J290" s="56"/>
      <c r="K290" s="56"/>
      <c r="L290" s="120"/>
      <c r="M290" s="121"/>
      <c r="N290" s="48"/>
      <c r="O290" s="49"/>
      <c r="P290" s="49"/>
    </row>
    <row r="291" spans="1:16" ht="120" hidden="1">
      <c r="A291" s="37" t="s">
        <v>745</v>
      </c>
      <c r="B291" s="67">
        <v>4010</v>
      </c>
      <c r="C291" s="56"/>
      <c r="D291" s="56"/>
      <c r="E291" s="56"/>
      <c r="F291" s="56"/>
      <c r="G291" s="56"/>
      <c r="H291" s="56"/>
      <c r="I291" s="56"/>
      <c r="J291" s="56"/>
      <c r="K291" s="56"/>
      <c r="L291" s="120"/>
      <c r="M291" s="121"/>
      <c r="N291" s="48"/>
      <c r="O291" s="49"/>
      <c r="P291" s="49"/>
    </row>
    <row r="292" spans="1:16" ht="36" hidden="1">
      <c r="A292" s="37" t="s">
        <v>764</v>
      </c>
      <c r="B292" s="67">
        <v>4011</v>
      </c>
      <c r="C292" s="56"/>
      <c r="D292" s="56"/>
      <c r="E292" s="56"/>
      <c r="F292" s="56"/>
      <c r="G292" s="56"/>
      <c r="H292" s="56"/>
      <c r="I292" s="56"/>
      <c r="J292" s="56"/>
      <c r="K292" s="56"/>
      <c r="L292" s="120"/>
      <c r="M292" s="121"/>
      <c r="N292" s="48"/>
      <c r="O292" s="49"/>
      <c r="P292" s="49"/>
    </row>
    <row r="293" spans="1:16" ht="36" hidden="1">
      <c r="A293" s="37" t="s">
        <v>765</v>
      </c>
      <c r="B293" s="67">
        <v>4012</v>
      </c>
      <c r="C293" s="56"/>
      <c r="D293" s="56"/>
      <c r="E293" s="56"/>
      <c r="F293" s="56"/>
      <c r="G293" s="56"/>
      <c r="H293" s="56"/>
      <c r="I293" s="56"/>
      <c r="J293" s="56"/>
      <c r="K293" s="56"/>
      <c r="L293" s="120"/>
      <c r="M293" s="121"/>
      <c r="N293" s="48"/>
      <c r="O293" s="49"/>
      <c r="P293" s="49"/>
    </row>
    <row r="294" spans="1:16" ht="48" hidden="1">
      <c r="A294" s="37" t="s">
        <v>766</v>
      </c>
      <c r="B294" s="67">
        <v>4013</v>
      </c>
      <c r="C294" s="56"/>
      <c r="D294" s="56"/>
      <c r="E294" s="56"/>
      <c r="F294" s="56"/>
      <c r="G294" s="56"/>
      <c r="H294" s="56"/>
      <c r="I294" s="56"/>
      <c r="J294" s="56"/>
      <c r="K294" s="56"/>
      <c r="L294" s="120"/>
      <c r="M294" s="121"/>
      <c r="N294" s="48"/>
      <c r="O294" s="49"/>
      <c r="P294" s="49"/>
    </row>
    <row r="295" spans="1:16" ht="48" hidden="1">
      <c r="A295" s="37" t="s">
        <v>767</v>
      </c>
      <c r="B295" s="67">
        <v>4014</v>
      </c>
      <c r="C295" s="56"/>
      <c r="D295" s="56"/>
      <c r="E295" s="56"/>
      <c r="F295" s="56"/>
      <c r="G295" s="56"/>
      <c r="H295" s="56"/>
      <c r="I295" s="56"/>
      <c r="J295" s="56"/>
      <c r="K295" s="56"/>
      <c r="L295" s="120"/>
      <c r="M295" s="121"/>
      <c r="N295" s="48"/>
      <c r="O295" s="49"/>
      <c r="P295" s="49"/>
    </row>
    <row r="296" spans="1:16" ht="36" hidden="1">
      <c r="A296" s="37" t="s">
        <v>768</v>
      </c>
      <c r="B296" s="67">
        <v>4015</v>
      </c>
      <c r="C296" s="56"/>
      <c r="D296" s="56"/>
      <c r="E296" s="56"/>
      <c r="F296" s="56"/>
      <c r="G296" s="56"/>
      <c r="H296" s="56"/>
      <c r="I296" s="56"/>
      <c r="J296" s="56"/>
      <c r="K296" s="56"/>
      <c r="L296" s="120"/>
      <c r="M296" s="121"/>
      <c r="N296" s="48"/>
      <c r="O296" s="49"/>
      <c r="P296" s="49"/>
    </row>
    <row r="297" spans="1:16" ht="96" hidden="1">
      <c r="A297" s="37" t="s">
        <v>746</v>
      </c>
      <c r="B297" s="67">
        <v>4016</v>
      </c>
      <c r="C297" s="56"/>
      <c r="D297" s="56"/>
      <c r="E297" s="56"/>
      <c r="F297" s="56"/>
      <c r="G297" s="56"/>
      <c r="H297" s="56"/>
      <c r="I297" s="56"/>
      <c r="J297" s="56"/>
      <c r="K297" s="56"/>
      <c r="L297" s="120"/>
      <c r="M297" s="121"/>
      <c r="N297" s="48"/>
      <c r="O297" s="49"/>
      <c r="P297" s="49"/>
    </row>
    <row r="298" spans="1:16" ht="72" hidden="1">
      <c r="A298" s="37" t="s">
        <v>769</v>
      </c>
      <c r="B298" s="67">
        <v>4017</v>
      </c>
      <c r="C298" s="56"/>
      <c r="D298" s="56"/>
      <c r="E298" s="56"/>
      <c r="F298" s="56"/>
      <c r="G298" s="56"/>
      <c r="H298" s="56"/>
      <c r="I298" s="56"/>
      <c r="J298" s="56"/>
      <c r="K298" s="56"/>
      <c r="L298" s="120"/>
      <c r="M298" s="121"/>
      <c r="N298" s="48"/>
      <c r="O298" s="49"/>
      <c r="P298" s="49"/>
    </row>
    <row r="299" spans="1:16" ht="84" hidden="1">
      <c r="A299" s="37" t="s">
        <v>770</v>
      </c>
      <c r="B299" s="67">
        <v>4018</v>
      </c>
      <c r="C299" s="56"/>
      <c r="D299" s="56"/>
      <c r="E299" s="56"/>
      <c r="F299" s="56"/>
      <c r="G299" s="56"/>
      <c r="H299" s="56"/>
      <c r="I299" s="56"/>
      <c r="J299" s="56"/>
      <c r="K299" s="56"/>
      <c r="L299" s="120"/>
      <c r="M299" s="121"/>
      <c r="N299" s="48"/>
      <c r="O299" s="49"/>
      <c r="P299" s="49"/>
    </row>
    <row r="300" spans="1:16" ht="72" hidden="1">
      <c r="A300" s="37" t="s">
        <v>771</v>
      </c>
      <c r="B300" s="67">
        <v>4019</v>
      </c>
      <c r="C300" s="56"/>
      <c r="D300" s="56"/>
      <c r="E300" s="56"/>
      <c r="F300" s="56"/>
      <c r="G300" s="56"/>
      <c r="H300" s="56"/>
      <c r="I300" s="56"/>
      <c r="J300" s="56"/>
      <c r="K300" s="56"/>
      <c r="L300" s="120"/>
      <c r="M300" s="121"/>
      <c r="N300" s="48"/>
      <c r="O300" s="49"/>
      <c r="P300" s="49"/>
    </row>
    <row r="301" spans="1:16" ht="24" hidden="1">
      <c r="A301" s="37" t="s">
        <v>772</v>
      </c>
      <c r="B301" s="67">
        <v>4020</v>
      </c>
      <c r="C301" s="56"/>
      <c r="D301" s="56"/>
      <c r="E301" s="56"/>
      <c r="F301" s="56"/>
      <c r="G301" s="56"/>
      <c r="H301" s="56"/>
      <c r="I301" s="56"/>
      <c r="J301" s="56"/>
      <c r="K301" s="56"/>
      <c r="L301" s="120"/>
      <c r="M301" s="121"/>
      <c r="N301" s="48"/>
      <c r="O301" s="49"/>
      <c r="P301" s="49"/>
    </row>
    <row r="302" spans="1:16" ht="48" hidden="1">
      <c r="A302" s="37" t="s">
        <v>236</v>
      </c>
      <c r="B302" s="67">
        <v>4021</v>
      </c>
      <c r="C302" s="56"/>
      <c r="D302" s="56"/>
      <c r="E302" s="56"/>
      <c r="F302" s="56"/>
      <c r="G302" s="56"/>
      <c r="H302" s="56"/>
      <c r="I302" s="56"/>
      <c r="J302" s="56"/>
      <c r="K302" s="56"/>
      <c r="L302" s="120"/>
      <c r="M302" s="121"/>
      <c r="N302" s="48"/>
      <c r="O302" s="49"/>
      <c r="P302" s="49"/>
    </row>
    <row r="303" spans="1:16" ht="276" hidden="1">
      <c r="A303" s="37" t="s">
        <v>747</v>
      </c>
      <c r="B303" s="67">
        <v>4022</v>
      </c>
      <c r="C303" s="56"/>
      <c r="D303" s="56"/>
      <c r="E303" s="56"/>
      <c r="F303" s="56"/>
      <c r="G303" s="56"/>
      <c r="H303" s="56"/>
      <c r="I303" s="56"/>
      <c r="J303" s="56"/>
      <c r="K303" s="56"/>
      <c r="L303" s="120"/>
      <c r="M303" s="121"/>
      <c r="N303" s="48"/>
      <c r="O303" s="49"/>
      <c r="P303" s="49"/>
    </row>
    <row r="304" spans="1:16" ht="348" hidden="1">
      <c r="A304" s="37" t="s">
        <v>748</v>
      </c>
      <c r="B304" s="67">
        <v>4023</v>
      </c>
      <c r="C304" s="56"/>
      <c r="D304" s="56"/>
      <c r="E304" s="56"/>
      <c r="F304" s="56"/>
      <c r="G304" s="56"/>
      <c r="H304" s="56"/>
      <c r="I304" s="56"/>
      <c r="J304" s="56"/>
      <c r="K304" s="56"/>
      <c r="L304" s="120"/>
      <c r="M304" s="121"/>
      <c r="N304" s="48"/>
      <c r="O304" s="49"/>
      <c r="P304" s="49"/>
    </row>
    <row r="305" spans="1:16" ht="168" hidden="1">
      <c r="A305" s="37" t="s">
        <v>749</v>
      </c>
      <c r="B305" s="67">
        <v>4024</v>
      </c>
      <c r="C305" s="56"/>
      <c r="D305" s="56"/>
      <c r="E305" s="56"/>
      <c r="F305" s="56"/>
      <c r="G305" s="56"/>
      <c r="H305" s="56"/>
      <c r="I305" s="56"/>
      <c r="J305" s="56"/>
      <c r="K305" s="56"/>
      <c r="L305" s="120"/>
      <c r="M305" s="121"/>
      <c r="N305" s="48"/>
      <c r="O305" s="49"/>
      <c r="P305" s="49"/>
    </row>
    <row r="306" spans="1:16" ht="24" hidden="1">
      <c r="A306" s="37" t="s">
        <v>205</v>
      </c>
      <c r="B306" s="67">
        <v>4025</v>
      </c>
      <c r="C306" s="56"/>
      <c r="D306" s="56"/>
      <c r="E306" s="56"/>
      <c r="F306" s="56"/>
      <c r="G306" s="56"/>
      <c r="H306" s="56"/>
      <c r="I306" s="56"/>
      <c r="J306" s="56"/>
      <c r="K306" s="56"/>
      <c r="L306" s="120"/>
      <c r="M306" s="121"/>
      <c r="N306" s="48"/>
      <c r="O306" s="49"/>
      <c r="P306" s="49"/>
    </row>
    <row r="307" spans="1:16" ht="72" hidden="1">
      <c r="A307" s="37" t="s">
        <v>773</v>
      </c>
      <c r="B307" s="67">
        <v>4026</v>
      </c>
      <c r="C307" s="56"/>
      <c r="D307" s="56"/>
      <c r="E307" s="56"/>
      <c r="F307" s="56"/>
      <c r="G307" s="56"/>
      <c r="H307" s="56"/>
      <c r="I307" s="56"/>
      <c r="J307" s="56"/>
      <c r="K307" s="56"/>
      <c r="L307" s="120"/>
      <c r="M307" s="121"/>
      <c r="N307" s="48"/>
      <c r="O307" s="49"/>
      <c r="P307" s="49"/>
    </row>
    <row r="308" spans="1:16" ht="60" hidden="1">
      <c r="A308" s="37" t="s">
        <v>774</v>
      </c>
      <c r="B308" s="67">
        <v>4027</v>
      </c>
      <c r="C308" s="56"/>
      <c r="D308" s="56"/>
      <c r="E308" s="56"/>
      <c r="F308" s="56"/>
      <c r="G308" s="56"/>
      <c r="H308" s="56"/>
      <c r="I308" s="56"/>
      <c r="J308" s="56"/>
      <c r="K308" s="56"/>
      <c r="L308" s="120"/>
      <c r="M308" s="121"/>
      <c r="N308" s="48"/>
      <c r="O308" s="49"/>
      <c r="P308" s="49"/>
    </row>
    <row r="309" spans="1:16" ht="36" hidden="1">
      <c r="A309" s="37" t="s">
        <v>70</v>
      </c>
      <c r="B309" s="67">
        <v>4028</v>
      </c>
      <c r="C309" s="56"/>
      <c r="D309" s="56"/>
      <c r="E309" s="56"/>
      <c r="F309" s="56"/>
      <c r="G309" s="56"/>
      <c r="H309" s="56"/>
      <c r="I309" s="56"/>
      <c r="J309" s="56"/>
      <c r="K309" s="56"/>
      <c r="L309" s="120"/>
      <c r="M309" s="121"/>
      <c r="N309" s="48"/>
      <c r="O309" s="49"/>
      <c r="P309" s="49"/>
    </row>
    <row r="310" spans="1:16" ht="96" hidden="1">
      <c r="A310" s="37" t="s">
        <v>750</v>
      </c>
      <c r="B310" s="67">
        <v>4029</v>
      </c>
      <c r="C310" s="56"/>
      <c r="D310" s="56"/>
      <c r="E310" s="56"/>
      <c r="F310" s="56"/>
      <c r="G310" s="56"/>
      <c r="H310" s="56"/>
      <c r="I310" s="56"/>
      <c r="J310" s="56"/>
      <c r="K310" s="56"/>
      <c r="L310" s="120"/>
      <c r="M310" s="121"/>
      <c r="N310" s="48"/>
      <c r="O310" s="49"/>
      <c r="P310" s="49"/>
    </row>
    <row r="311" spans="1:16" ht="48" hidden="1">
      <c r="A311" s="37" t="s">
        <v>237</v>
      </c>
      <c r="B311" s="67">
        <v>4030</v>
      </c>
      <c r="C311" s="56"/>
      <c r="D311" s="56"/>
      <c r="E311" s="56"/>
      <c r="F311" s="56"/>
      <c r="G311" s="56"/>
      <c r="H311" s="56"/>
      <c r="I311" s="56"/>
      <c r="J311" s="56"/>
      <c r="K311" s="56"/>
      <c r="L311" s="120"/>
      <c r="M311" s="121"/>
      <c r="N311" s="48"/>
      <c r="O311" s="49"/>
      <c r="P311" s="49"/>
    </row>
    <row r="312" spans="1:16" ht="36" hidden="1">
      <c r="A312" s="37" t="s">
        <v>775</v>
      </c>
      <c r="B312" s="67">
        <v>4031</v>
      </c>
      <c r="C312" s="56"/>
      <c r="D312" s="56"/>
      <c r="E312" s="56"/>
      <c r="F312" s="56"/>
      <c r="G312" s="56"/>
      <c r="H312" s="56"/>
      <c r="I312" s="56"/>
      <c r="J312" s="56"/>
      <c r="K312" s="56"/>
      <c r="L312" s="120"/>
      <c r="M312" s="121"/>
      <c r="N312" s="48"/>
      <c r="O312" s="49"/>
      <c r="P312" s="49"/>
    </row>
    <row r="313" spans="1:16" ht="60" hidden="1">
      <c r="A313" s="37" t="s">
        <v>238</v>
      </c>
      <c r="B313" s="67">
        <v>4032</v>
      </c>
      <c r="C313" s="56"/>
      <c r="D313" s="56"/>
      <c r="E313" s="56"/>
      <c r="F313" s="56"/>
      <c r="G313" s="56"/>
      <c r="H313" s="56"/>
      <c r="I313" s="56"/>
      <c r="J313" s="56"/>
      <c r="K313" s="56"/>
      <c r="L313" s="120"/>
      <c r="M313" s="121"/>
      <c r="N313" s="48"/>
      <c r="O313" s="49"/>
      <c r="P313" s="49"/>
    </row>
    <row r="314" spans="1:16" ht="24" hidden="1">
      <c r="A314" s="37" t="s">
        <v>75</v>
      </c>
      <c r="B314" s="67">
        <v>4033</v>
      </c>
      <c r="C314" s="56"/>
      <c r="D314" s="56"/>
      <c r="E314" s="56"/>
      <c r="F314" s="56"/>
      <c r="G314" s="56"/>
      <c r="H314" s="56"/>
      <c r="I314" s="56"/>
      <c r="J314" s="56"/>
      <c r="K314" s="56"/>
      <c r="L314" s="120"/>
      <c r="M314" s="121"/>
      <c r="N314" s="48"/>
      <c r="O314" s="49"/>
      <c r="P314" s="49"/>
    </row>
    <row r="315" spans="1:16" ht="48" hidden="1">
      <c r="A315" s="37" t="s">
        <v>218</v>
      </c>
      <c r="B315" s="67">
        <v>4034</v>
      </c>
      <c r="C315" s="56"/>
      <c r="D315" s="56"/>
      <c r="E315" s="56"/>
      <c r="F315" s="56"/>
      <c r="G315" s="56"/>
      <c r="H315" s="56"/>
      <c r="I315" s="56"/>
      <c r="J315" s="56"/>
      <c r="K315" s="56"/>
      <c r="L315" s="120"/>
      <c r="M315" s="121"/>
      <c r="N315" s="48"/>
      <c r="O315" s="49"/>
      <c r="P315" s="49"/>
    </row>
    <row r="316" spans="1:16" ht="60" hidden="1">
      <c r="A316" s="37" t="s">
        <v>776</v>
      </c>
      <c r="B316" s="67">
        <v>4035</v>
      </c>
      <c r="C316" s="56"/>
      <c r="D316" s="56"/>
      <c r="E316" s="56"/>
      <c r="F316" s="56"/>
      <c r="G316" s="56"/>
      <c r="H316" s="56"/>
      <c r="I316" s="56"/>
      <c r="J316" s="56"/>
      <c r="K316" s="56"/>
      <c r="L316" s="120"/>
      <c r="M316" s="121"/>
      <c r="N316" s="48"/>
      <c r="O316" s="49"/>
      <c r="P316" s="49"/>
    </row>
    <row r="317" spans="1:16" ht="72" hidden="1">
      <c r="A317" s="37" t="s">
        <v>54</v>
      </c>
      <c r="B317" s="67">
        <v>4036</v>
      </c>
      <c r="C317" s="56"/>
      <c r="D317" s="56"/>
      <c r="E317" s="56"/>
      <c r="F317" s="56"/>
      <c r="G317" s="56"/>
      <c r="H317" s="56"/>
      <c r="I317" s="56"/>
      <c r="J317" s="56"/>
      <c r="K317" s="56"/>
      <c r="L317" s="120"/>
      <c r="M317" s="121"/>
      <c r="N317" s="48"/>
      <c r="O317" s="49"/>
      <c r="P317" s="49"/>
    </row>
    <row r="318" spans="1:16" ht="72" hidden="1">
      <c r="A318" s="37" t="s">
        <v>239</v>
      </c>
      <c r="B318" s="67">
        <v>4037</v>
      </c>
      <c r="C318" s="56"/>
      <c r="D318" s="56"/>
      <c r="E318" s="56"/>
      <c r="F318" s="56"/>
      <c r="G318" s="56"/>
      <c r="H318" s="56"/>
      <c r="I318" s="56"/>
      <c r="J318" s="56"/>
      <c r="K318" s="56"/>
      <c r="L318" s="120"/>
      <c r="M318" s="121"/>
      <c r="N318" s="48"/>
      <c r="O318" s="49"/>
      <c r="P318" s="49"/>
    </row>
    <row r="319" spans="1:16" ht="84" hidden="1">
      <c r="A319" s="37" t="s">
        <v>751</v>
      </c>
      <c r="B319" s="67">
        <v>4038</v>
      </c>
      <c r="C319" s="56"/>
      <c r="D319" s="56"/>
      <c r="E319" s="56"/>
      <c r="F319" s="56"/>
      <c r="G319" s="56"/>
      <c r="H319" s="56"/>
      <c r="I319" s="56"/>
      <c r="J319" s="56"/>
      <c r="K319" s="56"/>
      <c r="L319" s="120"/>
      <c r="M319" s="121"/>
      <c r="N319" s="48"/>
      <c r="O319" s="49"/>
      <c r="P319" s="49"/>
    </row>
    <row r="320" spans="1:16" ht="24" hidden="1">
      <c r="A320" s="37" t="s">
        <v>777</v>
      </c>
      <c r="B320" s="67">
        <v>4039</v>
      </c>
      <c r="C320" s="56"/>
      <c r="D320" s="56"/>
      <c r="E320" s="56"/>
      <c r="F320" s="56"/>
      <c r="G320" s="56"/>
      <c r="H320" s="56"/>
      <c r="I320" s="56"/>
      <c r="J320" s="56"/>
      <c r="K320" s="56"/>
      <c r="L320" s="120"/>
      <c r="M320" s="121"/>
      <c r="N320" s="48"/>
      <c r="O320" s="49"/>
      <c r="P320" s="49"/>
    </row>
    <row r="321" spans="1:16" ht="48" hidden="1">
      <c r="A321" s="37" t="s">
        <v>240</v>
      </c>
      <c r="B321" s="67">
        <v>4040</v>
      </c>
      <c r="C321" s="56"/>
      <c r="D321" s="56"/>
      <c r="E321" s="56"/>
      <c r="F321" s="56"/>
      <c r="G321" s="56"/>
      <c r="H321" s="56"/>
      <c r="I321" s="56"/>
      <c r="J321" s="56"/>
      <c r="K321" s="56"/>
      <c r="L321" s="120"/>
      <c r="M321" s="121"/>
      <c r="N321" s="48"/>
      <c r="O321" s="49"/>
      <c r="P321" s="49"/>
    </row>
    <row r="322" spans="1:16" ht="12" hidden="1">
      <c r="A322" s="37" t="s">
        <v>13</v>
      </c>
      <c r="B322" s="67">
        <v>4041</v>
      </c>
      <c r="C322" s="56"/>
      <c r="D322" s="56"/>
      <c r="E322" s="56"/>
      <c r="F322" s="56"/>
      <c r="G322" s="56"/>
      <c r="H322" s="56"/>
      <c r="I322" s="56"/>
      <c r="J322" s="56"/>
      <c r="K322" s="56"/>
      <c r="L322" s="120"/>
      <c r="M322" s="121"/>
      <c r="N322" s="48"/>
      <c r="O322" s="49"/>
      <c r="P322" s="49"/>
    </row>
    <row r="323" spans="1:16" ht="12" hidden="1">
      <c r="A323" s="37" t="s">
        <v>13</v>
      </c>
      <c r="B323" s="67">
        <v>4042</v>
      </c>
      <c r="C323" s="56"/>
      <c r="D323" s="56"/>
      <c r="E323" s="56"/>
      <c r="F323" s="56"/>
      <c r="G323" s="56"/>
      <c r="H323" s="56"/>
      <c r="I323" s="56"/>
      <c r="J323" s="56"/>
      <c r="K323" s="56"/>
      <c r="L323" s="120"/>
      <c r="M323" s="121"/>
      <c r="N323" s="48"/>
      <c r="O323" s="49"/>
      <c r="P323" s="49"/>
    </row>
    <row r="324" spans="1:16" ht="108" hidden="1">
      <c r="A324" s="25" t="s">
        <v>241</v>
      </c>
      <c r="B324" s="68">
        <v>4100</v>
      </c>
      <c r="C324" s="57" t="s">
        <v>12</v>
      </c>
      <c r="D324" s="58" t="s">
        <v>12</v>
      </c>
      <c r="E324" s="58" t="s">
        <v>12</v>
      </c>
      <c r="F324" s="57" t="s">
        <v>12</v>
      </c>
      <c r="G324" s="58" t="s">
        <v>12</v>
      </c>
      <c r="H324" s="58" t="s">
        <v>12</v>
      </c>
      <c r="I324" s="58"/>
      <c r="J324" s="58"/>
      <c r="K324" s="58"/>
      <c r="L324" s="124" t="s">
        <v>12</v>
      </c>
      <c r="M324" s="125" t="s">
        <v>12</v>
      </c>
      <c r="N324" s="50"/>
      <c r="O324" s="51">
        <f>SUM(O325:O342)</f>
        <v>0</v>
      </c>
      <c r="P324" s="51">
        <f>SUM(P325:P342)</f>
        <v>0</v>
      </c>
    </row>
    <row r="325" spans="1:16" ht="24" hidden="1">
      <c r="A325" s="37" t="s">
        <v>109</v>
      </c>
      <c r="B325" s="67">
        <v>4101</v>
      </c>
      <c r="C325" s="56"/>
      <c r="D325" s="56"/>
      <c r="E325" s="56"/>
      <c r="F325" s="56"/>
      <c r="G325" s="56"/>
      <c r="H325" s="56"/>
      <c r="I325" s="56"/>
      <c r="J325" s="56"/>
      <c r="K325" s="56"/>
      <c r="L325" s="120"/>
      <c r="M325" s="121"/>
      <c r="N325" s="48"/>
      <c r="O325" s="49"/>
      <c r="P325" s="49"/>
    </row>
    <row r="326" spans="1:16" ht="12" hidden="1">
      <c r="A326" s="37" t="s">
        <v>110</v>
      </c>
      <c r="B326" s="67">
        <v>4102</v>
      </c>
      <c r="C326" s="56"/>
      <c r="D326" s="56"/>
      <c r="E326" s="56"/>
      <c r="F326" s="56"/>
      <c r="G326" s="56"/>
      <c r="H326" s="56"/>
      <c r="I326" s="56"/>
      <c r="J326" s="56"/>
      <c r="K326" s="56"/>
      <c r="L326" s="120"/>
      <c r="M326" s="121"/>
      <c r="N326" s="48"/>
      <c r="O326" s="49"/>
      <c r="P326" s="49"/>
    </row>
    <row r="327" spans="1:16" ht="48" hidden="1">
      <c r="A327" s="37" t="s">
        <v>111</v>
      </c>
      <c r="B327" s="67">
        <v>4103</v>
      </c>
      <c r="C327" s="56"/>
      <c r="D327" s="56"/>
      <c r="E327" s="56"/>
      <c r="F327" s="56"/>
      <c r="G327" s="56"/>
      <c r="H327" s="56"/>
      <c r="I327" s="56"/>
      <c r="J327" s="56"/>
      <c r="K327" s="56"/>
      <c r="L327" s="120"/>
      <c r="M327" s="121"/>
      <c r="N327" s="48"/>
      <c r="O327" s="49"/>
      <c r="P327" s="49"/>
    </row>
    <row r="328" spans="1:16" ht="24" hidden="1">
      <c r="A328" s="37" t="s">
        <v>112</v>
      </c>
      <c r="B328" s="67">
        <v>4104</v>
      </c>
      <c r="C328" s="56"/>
      <c r="D328" s="56"/>
      <c r="E328" s="56"/>
      <c r="F328" s="56"/>
      <c r="G328" s="56"/>
      <c r="H328" s="56"/>
      <c r="I328" s="56"/>
      <c r="J328" s="56"/>
      <c r="K328" s="56"/>
      <c r="L328" s="120"/>
      <c r="M328" s="121"/>
      <c r="N328" s="48"/>
      <c r="O328" s="49"/>
      <c r="P328" s="49"/>
    </row>
    <row r="329" spans="1:16" ht="108" hidden="1">
      <c r="A329" s="37" t="s">
        <v>113</v>
      </c>
      <c r="B329" s="67">
        <v>4105</v>
      </c>
      <c r="C329" s="56"/>
      <c r="D329" s="56"/>
      <c r="E329" s="56"/>
      <c r="F329" s="56"/>
      <c r="G329" s="56"/>
      <c r="H329" s="56"/>
      <c r="I329" s="56"/>
      <c r="J329" s="56"/>
      <c r="K329" s="56"/>
      <c r="L329" s="120"/>
      <c r="M329" s="121"/>
      <c r="N329" s="48"/>
      <c r="O329" s="49"/>
      <c r="P329" s="49"/>
    </row>
    <row r="330" spans="1:16" ht="72" hidden="1">
      <c r="A330" s="37" t="s">
        <v>114</v>
      </c>
      <c r="B330" s="67">
        <v>4106</v>
      </c>
      <c r="C330" s="56"/>
      <c r="D330" s="56"/>
      <c r="E330" s="56"/>
      <c r="F330" s="56"/>
      <c r="G330" s="56"/>
      <c r="H330" s="56"/>
      <c r="I330" s="56"/>
      <c r="J330" s="56"/>
      <c r="K330" s="56"/>
      <c r="L330" s="120"/>
      <c r="M330" s="121"/>
      <c r="N330" s="48"/>
      <c r="O330" s="49"/>
      <c r="P330" s="49"/>
    </row>
    <row r="331" spans="1:16" ht="84" hidden="1">
      <c r="A331" s="37" t="s">
        <v>115</v>
      </c>
      <c r="B331" s="67">
        <v>4107</v>
      </c>
      <c r="C331" s="56"/>
      <c r="D331" s="56"/>
      <c r="E331" s="56"/>
      <c r="F331" s="56"/>
      <c r="G331" s="56"/>
      <c r="H331" s="56"/>
      <c r="I331" s="56"/>
      <c r="J331" s="56"/>
      <c r="K331" s="56"/>
      <c r="L331" s="120"/>
      <c r="M331" s="121"/>
      <c r="N331" s="48"/>
      <c r="O331" s="49"/>
      <c r="P331" s="49"/>
    </row>
    <row r="332" spans="1:16" ht="36" hidden="1">
      <c r="A332" s="37" t="s">
        <v>116</v>
      </c>
      <c r="B332" s="67">
        <v>4108</v>
      </c>
      <c r="C332" s="56"/>
      <c r="D332" s="56"/>
      <c r="E332" s="56"/>
      <c r="F332" s="56"/>
      <c r="G332" s="56"/>
      <c r="H332" s="56"/>
      <c r="I332" s="56"/>
      <c r="J332" s="56"/>
      <c r="K332" s="56"/>
      <c r="L332" s="120"/>
      <c r="M332" s="121"/>
      <c r="N332" s="48"/>
      <c r="O332" s="49"/>
      <c r="P332" s="49"/>
    </row>
    <row r="333" spans="1:16" ht="48" hidden="1">
      <c r="A333" s="37" t="s">
        <v>117</v>
      </c>
      <c r="B333" s="67">
        <v>4109</v>
      </c>
      <c r="C333" s="56"/>
      <c r="D333" s="56"/>
      <c r="E333" s="56"/>
      <c r="F333" s="56"/>
      <c r="G333" s="56"/>
      <c r="H333" s="56"/>
      <c r="I333" s="56"/>
      <c r="J333" s="56"/>
      <c r="K333" s="56"/>
      <c r="L333" s="120"/>
      <c r="M333" s="121"/>
      <c r="N333" s="48"/>
      <c r="O333" s="49"/>
      <c r="P333" s="49"/>
    </row>
    <row r="334" spans="1:16" ht="132" hidden="1">
      <c r="A334" s="37" t="s">
        <v>118</v>
      </c>
      <c r="B334" s="67">
        <v>4110</v>
      </c>
      <c r="C334" s="56"/>
      <c r="D334" s="56"/>
      <c r="E334" s="56"/>
      <c r="F334" s="56"/>
      <c r="G334" s="56"/>
      <c r="H334" s="56"/>
      <c r="I334" s="56"/>
      <c r="J334" s="56"/>
      <c r="K334" s="56"/>
      <c r="L334" s="120"/>
      <c r="M334" s="121"/>
      <c r="N334" s="48"/>
      <c r="O334" s="49"/>
      <c r="P334" s="49"/>
    </row>
    <row r="335" spans="1:16" ht="132" hidden="1">
      <c r="A335" s="37" t="s">
        <v>119</v>
      </c>
      <c r="B335" s="67">
        <v>4111</v>
      </c>
      <c r="C335" s="56"/>
      <c r="D335" s="56"/>
      <c r="E335" s="56"/>
      <c r="F335" s="56"/>
      <c r="G335" s="56"/>
      <c r="H335" s="56"/>
      <c r="I335" s="56"/>
      <c r="J335" s="56"/>
      <c r="K335" s="56"/>
      <c r="L335" s="120"/>
      <c r="M335" s="121"/>
      <c r="N335" s="48"/>
      <c r="O335" s="49"/>
      <c r="P335" s="49"/>
    </row>
    <row r="336" spans="1:16" ht="132" hidden="1">
      <c r="A336" s="37" t="s">
        <v>120</v>
      </c>
      <c r="B336" s="67">
        <v>4112</v>
      </c>
      <c r="C336" s="56"/>
      <c r="D336" s="56"/>
      <c r="E336" s="56"/>
      <c r="F336" s="56"/>
      <c r="G336" s="56"/>
      <c r="H336" s="56"/>
      <c r="I336" s="56"/>
      <c r="J336" s="56"/>
      <c r="K336" s="56"/>
      <c r="L336" s="120"/>
      <c r="M336" s="121"/>
      <c r="N336" s="48"/>
      <c r="O336" s="49"/>
      <c r="P336" s="49"/>
    </row>
    <row r="337" spans="1:16" ht="132" hidden="1">
      <c r="A337" s="37" t="s">
        <v>121</v>
      </c>
      <c r="B337" s="67">
        <v>4113</v>
      </c>
      <c r="C337" s="56"/>
      <c r="D337" s="56"/>
      <c r="E337" s="56"/>
      <c r="F337" s="56"/>
      <c r="G337" s="56"/>
      <c r="H337" s="56"/>
      <c r="I337" s="56"/>
      <c r="J337" s="56"/>
      <c r="K337" s="56"/>
      <c r="L337" s="120"/>
      <c r="M337" s="121"/>
      <c r="N337" s="48"/>
      <c r="O337" s="49"/>
      <c r="P337" s="49"/>
    </row>
    <row r="338" spans="1:16" ht="36" hidden="1">
      <c r="A338" s="37" t="s">
        <v>122</v>
      </c>
      <c r="B338" s="67">
        <v>4114</v>
      </c>
      <c r="C338" s="56"/>
      <c r="D338" s="56"/>
      <c r="E338" s="56"/>
      <c r="F338" s="56"/>
      <c r="G338" s="56"/>
      <c r="H338" s="56"/>
      <c r="I338" s="56"/>
      <c r="J338" s="56"/>
      <c r="K338" s="56"/>
      <c r="L338" s="120"/>
      <c r="M338" s="121"/>
      <c r="N338" s="48"/>
      <c r="O338" s="49"/>
      <c r="P338" s="49"/>
    </row>
    <row r="339" spans="1:16" ht="180" hidden="1">
      <c r="A339" s="37" t="s">
        <v>123</v>
      </c>
      <c r="B339" s="67">
        <v>4115</v>
      </c>
      <c r="C339" s="56"/>
      <c r="D339" s="56"/>
      <c r="E339" s="56"/>
      <c r="F339" s="56"/>
      <c r="G339" s="56"/>
      <c r="H339" s="56"/>
      <c r="I339" s="56"/>
      <c r="J339" s="56"/>
      <c r="K339" s="56"/>
      <c r="L339" s="120"/>
      <c r="M339" s="121"/>
      <c r="N339" s="48"/>
      <c r="O339" s="49"/>
      <c r="P339" s="49"/>
    </row>
    <row r="340" spans="1:16" ht="144" hidden="1">
      <c r="A340" s="37" t="s">
        <v>124</v>
      </c>
      <c r="B340" s="67">
        <v>4116</v>
      </c>
      <c r="C340" s="56"/>
      <c r="D340" s="56"/>
      <c r="E340" s="56"/>
      <c r="F340" s="56"/>
      <c r="G340" s="56"/>
      <c r="H340" s="56"/>
      <c r="I340" s="56"/>
      <c r="J340" s="56"/>
      <c r="K340" s="56"/>
      <c r="L340" s="120"/>
      <c r="M340" s="121"/>
      <c r="N340" s="48"/>
      <c r="O340" s="49"/>
      <c r="P340" s="49"/>
    </row>
    <row r="341" spans="1:16" ht="12" hidden="1">
      <c r="A341" s="37" t="s">
        <v>13</v>
      </c>
      <c r="B341" s="67">
        <v>4117</v>
      </c>
      <c r="C341" s="56"/>
      <c r="D341" s="56"/>
      <c r="E341" s="56"/>
      <c r="F341" s="56"/>
      <c r="G341" s="56"/>
      <c r="H341" s="56"/>
      <c r="I341" s="56"/>
      <c r="J341" s="56"/>
      <c r="K341" s="56"/>
      <c r="L341" s="120"/>
      <c r="M341" s="121"/>
      <c r="N341" s="48"/>
      <c r="O341" s="49"/>
      <c r="P341" s="49"/>
    </row>
    <row r="342" spans="1:16" ht="12" hidden="1">
      <c r="A342" s="37" t="s">
        <v>13</v>
      </c>
      <c r="B342" s="69">
        <v>4118</v>
      </c>
      <c r="C342" s="56"/>
      <c r="D342" s="56"/>
      <c r="E342" s="56"/>
      <c r="F342" s="56"/>
      <c r="G342" s="56"/>
      <c r="H342" s="56"/>
      <c r="I342" s="56"/>
      <c r="J342" s="56"/>
      <c r="K342" s="56"/>
      <c r="L342" s="120"/>
      <c r="M342" s="121"/>
      <c r="N342" s="48"/>
      <c r="O342" s="49"/>
      <c r="P342" s="49"/>
    </row>
    <row r="343" spans="1:16" ht="108" hidden="1">
      <c r="A343" s="25" t="s">
        <v>28</v>
      </c>
      <c r="B343" s="68">
        <v>4200</v>
      </c>
      <c r="C343" s="57" t="s">
        <v>12</v>
      </c>
      <c r="D343" s="58" t="s">
        <v>12</v>
      </c>
      <c r="E343" s="58" t="s">
        <v>12</v>
      </c>
      <c r="F343" s="57" t="s">
        <v>12</v>
      </c>
      <c r="G343" s="58" t="s">
        <v>12</v>
      </c>
      <c r="H343" s="58" t="s">
        <v>12</v>
      </c>
      <c r="I343" s="58"/>
      <c r="J343" s="58"/>
      <c r="K343" s="58"/>
      <c r="L343" s="124" t="s">
        <v>12</v>
      </c>
      <c r="M343" s="125" t="s">
        <v>12</v>
      </c>
      <c r="N343" s="50"/>
      <c r="O343" s="51">
        <f>O344+O358+O361</f>
        <v>0</v>
      </c>
      <c r="P343" s="51">
        <f>P344+P358+P361</f>
        <v>0</v>
      </c>
    </row>
    <row r="344" spans="1:16" ht="60" hidden="1">
      <c r="A344" s="25" t="s">
        <v>242</v>
      </c>
      <c r="B344" s="68">
        <v>4201</v>
      </c>
      <c r="C344" s="57" t="s">
        <v>12</v>
      </c>
      <c r="D344" s="58" t="s">
        <v>12</v>
      </c>
      <c r="E344" s="58" t="s">
        <v>12</v>
      </c>
      <c r="F344" s="57" t="s">
        <v>12</v>
      </c>
      <c r="G344" s="58" t="s">
        <v>12</v>
      </c>
      <c r="H344" s="58" t="s">
        <v>12</v>
      </c>
      <c r="I344" s="58"/>
      <c r="J344" s="58"/>
      <c r="K344" s="58"/>
      <c r="L344" s="124" t="s">
        <v>12</v>
      </c>
      <c r="M344" s="125" t="s">
        <v>12</v>
      </c>
      <c r="N344" s="50"/>
      <c r="O344" s="51">
        <f>SUM(O345:O357)</f>
        <v>0</v>
      </c>
      <c r="P344" s="51">
        <f>SUM(P345:P357)</f>
        <v>0</v>
      </c>
    </row>
    <row r="345" spans="1:16" ht="12" hidden="1">
      <c r="A345" s="37" t="s">
        <v>243</v>
      </c>
      <c r="B345" s="67">
        <v>4202</v>
      </c>
      <c r="C345" s="56"/>
      <c r="D345" s="56"/>
      <c r="E345" s="56"/>
      <c r="F345" s="56"/>
      <c r="G345" s="56"/>
      <c r="H345" s="56"/>
      <c r="I345" s="56"/>
      <c r="J345" s="56"/>
      <c r="K345" s="56"/>
      <c r="L345" s="120"/>
      <c r="M345" s="121"/>
      <c r="N345" s="48"/>
      <c r="O345" s="49"/>
      <c r="P345" s="49"/>
    </row>
    <row r="346" spans="1:16" ht="48" hidden="1">
      <c r="A346" s="37" t="s">
        <v>244</v>
      </c>
      <c r="B346" s="67">
        <v>4203</v>
      </c>
      <c r="C346" s="56"/>
      <c r="D346" s="56"/>
      <c r="E346" s="56"/>
      <c r="F346" s="56"/>
      <c r="G346" s="56"/>
      <c r="H346" s="56"/>
      <c r="I346" s="56"/>
      <c r="J346" s="56"/>
      <c r="K346" s="56"/>
      <c r="L346" s="120"/>
      <c r="M346" s="121"/>
      <c r="N346" s="48"/>
      <c r="O346" s="49"/>
      <c r="P346" s="49"/>
    </row>
    <row r="347" spans="1:16" ht="24" hidden="1">
      <c r="A347" s="37" t="s">
        <v>126</v>
      </c>
      <c r="B347" s="67">
        <v>4204</v>
      </c>
      <c r="C347" s="56"/>
      <c r="D347" s="56"/>
      <c r="E347" s="56"/>
      <c r="F347" s="56"/>
      <c r="G347" s="56"/>
      <c r="H347" s="56"/>
      <c r="I347" s="56"/>
      <c r="J347" s="56"/>
      <c r="K347" s="56"/>
      <c r="L347" s="120"/>
      <c r="M347" s="121"/>
      <c r="N347" s="48"/>
      <c r="O347" s="49"/>
      <c r="P347" s="49"/>
    </row>
    <row r="348" spans="1:16" ht="48" hidden="1">
      <c r="A348" s="37" t="s">
        <v>245</v>
      </c>
      <c r="B348" s="67">
        <v>4205</v>
      </c>
      <c r="C348" s="56"/>
      <c r="D348" s="56"/>
      <c r="E348" s="56"/>
      <c r="F348" s="56"/>
      <c r="G348" s="56"/>
      <c r="H348" s="56"/>
      <c r="I348" s="56"/>
      <c r="J348" s="56"/>
      <c r="K348" s="56"/>
      <c r="L348" s="120"/>
      <c r="M348" s="121"/>
      <c r="N348" s="48"/>
      <c r="O348" s="49"/>
      <c r="P348" s="49"/>
    </row>
    <row r="349" spans="1:16" ht="60" hidden="1">
      <c r="A349" s="37" t="s">
        <v>246</v>
      </c>
      <c r="B349" s="67">
        <v>4206</v>
      </c>
      <c r="C349" s="56"/>
      <c r="D349" s="56"/>
      <c r="E349" s="56"/>
      <c r="F349" s="56"/>
      <c r="G349" s="56"/>
      <c r="H349" s="56"/>
      <c r="I349" s="56"/>
      <c r="J349" s="56"/>
      <c r="K349" s="56"/>
      <c r="L349" s="120"/>
      <c r="M349" s="121"/>
      <c r="N349" s="48"/>
      <c r="O349" s="49"/>
      <c r="P349" s="49"/>
    </row>
    <row r="350" spans="1:16" ht="60" hidden="1">
      <c r="A350" s="37" t="s">
        <v>247</v>
      </c>
      <c r="B350" s="67">
        <v>4207</v>
      </c>
      <c r="C350" s="56"/>
      <c r="D350" s="56"/>
      <c r="E350" s="56"/>
      <c r="F350" s="56"/>
      <c r="G350" s="56"/>
      <c r="H350" s="56"/>
      <c r="I350" s="56"/>
      <c r="J350" s="56"/>
      <c r="K350" s="56"/>
      <c r="L350" s="120"/>
      <c r="M350" s="121"/>
      <c r="N350" s="48"/>
      <c r="O350" s="49"/>
      <c r="P350" s="49"/>
    </row>
    <row r="351" spans="1:16" ht="12" hidden="1">
      <c r="A351" s="37" t="s">
        <v>225</v>
      </c>
      <c r="B351" s="67">
        <v>4208</v>
      </c>
      <c r="C351" s="56"/>
      <c r="D351" s="56"/>
      <c r="E351" s="56"/>
      <c r="F351" s="56"/>
      <c r="G351" s="56"/>
      <c r="H351" s="56"/>
      <c r="I351" s="56"/>
      <c r="J351" s="56"/>
      <c r="K351" s="56"/>
      <c r="L351" s="120"/>
      <c r="M351" s="121"/>
      <c r="N351" s="48"/>
      <c r="O351" s="49"/>
      <c r="P351" s="49"/>
    </row>
    <row r="352" spans="1:16" ht="12" hidden="1">
      <c r="A352" s="37" t="s">
        <v>130</v>
      </c>
      <c r="B352" s="67">
        <v>4209</v>
      </c>
      <c r="C352" s="56"/>
      <c r="D352" s="56"/>
      <c r="E352" s="56"/>
      <c r="F352" s="56"/>
      <c r="G352" s="56"/>
      <c r="H352" s="56"/>
      <c r="I352" s="56"/>
      <c r="J352" s="56"/>
      <c r="K352" s="56"/>
      <c r="L352" s="120"/>
      <c r="M352" s="121"/>
      <c r="N352" s="48"/>
      <c r="O352" s="49"/>
      <c r="P352" s="49"/>
    </row>
    <row r="353" spans="1:16" ht="72" hidden="1">
      <c r="A353" s="37" t="s">
        <v>131</v>
      </c>
      <c r="B353" s="67">
        <v>4210</v>
      </c>
      <c r="C353" s="56"/>
      <c r="D353" s="56"/>
      <c r="E353" s="56"/>
      <c r="F353" s="56"/>
      <c r="G353" s="56"/>
      <c r="H353" s="56"/>
      <c r="I353" s="56"/>
      <c r="J353" s="56"/>
      <c r="K353" s="56"/>
      <c r="L353" s="120"/>
      <c r="M353" s="121"/>
      <c r="N353" s="48"/>
      <c r="O353" s="49"/>
      <c r="P353" s="49"/>
    </row>
    <row r="354" spans="1:16" ht="84" hidden="1">
      <c r="A354" s="37" t="s">
        <v>132</v>
      </c>
      <c r="B354" s="67">
        <v>4211</v>
      </c>
      <c r="C354" s="56"/>
      <c r="D354" s="56"/>
      <c r="E354" s="56"/>
      <c r="F354" s="56"/>
      <c r="G354" s="56"/>
      <c r="H354" s="56"/>
      <c r="I354" s="56"/>
      <c r="J354" s="56"/>
      <c r="K354" s="56"/>
      <c r="L354" s="120"/>
      <c r="M354" s="121"/>
      <c r="N354" s="48"/>
      <c r="O354" s="49"/>
      <c r="P354" s="49"/>
    </row>
    <row r="355" spans="1:16" ht="60" hidden="1">
      <c r="A355" s="37" t="s">
        <v>135</v>
      </c>
      <c r="B355" s="67">
        <v>4212</v>
      </c>
      <c r="C355" s="56"/>
      <c r="D355" s="56"/>
      <c r="E355" s="56"/>
      <c r="F355" s="56"/>
      <c r="G355" s="56"/>
      <c r="H355" s="56"/>
      <c r="I355" s="56"/>
      <c r="J355" s="56"/>
      <c r="K355" s="56"/>
      <c r="L355" s="120"/>
      <c r="M355" s="121"/>
      <c r="N355" s="48"/>
      <c r="O355" s="49"/>
      <c r="P355" s="49"/>
    </row>
    <row r="356" spans="1:16" ht="72" hidden="1">
      <c r="A356" s="37" t="s">
        <v>226</v>
      </c>
      <c r="B356" s="67">
        <v>4213</v>
      </c>
      <c r="C356" s="56"/>
      <c r="D356" s="56"/>
      <c r="E356" s="56"/>
      <c r="F356" s="56"/>
      <c r="G356" s="56"/>
      <c r="H356" s="56"/>
      <c r="I356" s="56"/>
      <c r="J356" s="56"/>
      <c r="K356" s="56"/>
      <c r="L356" s="120"/>
      <c r="M356" s="121"/>
      <c r="N356" s="48"/>
      <c r="O356" s="49"/>
      <c r="P356" s="49"/>
    </row>
    <row r="357" spans="1:16" ht="48" hidden="1">
      <c r="A357" s="37" t="s">
        <v>248</v>
      </c>
      <c r="B357" s="67">
        <v>4214</v>
      </c>
      <c r="C357" s="56"/>
      <c r="D357" s="56"/>
      <c r="E357" s="56"/>
      <c r="F357" s="56"/>
      <c r="G357" s="56"/>
      <c r="H357" s="56"/>
      <c r="I357" s="56"/>
      <c r="J357" s="56"/>
      <c r="K357" s="56"/>
      <c r="L357" s="120"/>
      <c r="M357" s="121"/>
      <c r="N357" s="48"/>
      <c r="O357" s="49"/>
      <c r="P357" s="49"/>
    </row>
    <row r="358" spans="1:16" ht="108" hidden="1">
      <c r="A358" s="25" t="s">
        <v>249</v>
      </c>
      <c r="B358" s="68">
        <v>4300</v>
      </c>
      <c r="C358" s="57" t="s">
        <v>12</v>
      </c>
      <c r="D358" s="58" t="s">
        <v>12</v>
      </c>
      <c r="E358" s="58" t="s">
        <v>12</v>
      </c>
      <c r="F358" s="57" t="s">
        <v>12</v>
      </c>
      <c r="G358" s="58" t="s">
        <v>12</v>
      </c>
      <c r="H358" s="58" t="s">
        <v>12</v>
      </c>
      <c r="I358" s="58"/>
      <c r="J358" s="58"/>
      <c r="K358" s="58"/>
      <c r="L358" s="124" t="s">
        <v>12</v>
      </c>
      <c r="M358" s="125" t="s">
        <v>12</v>
      </c>
      <c r="N358" s="50"/>
      <c r="O358" s="51">
        <f>SUM(O359:O360)</f>
        <v>0</v>
      </c>
      <c r="P358" s="51">
        <f>SUM(P359:P360)</f>
        <v>0</v>
      </c>
    </row>
    <row r="359" spans="1:16" ht="12" hidden="1">
      <c r="A359" s="37" t="s">
        <v>13</v>
      </c>
      <c r="B359" s="67">
        <v>4301</v>
      </c>
      <c r="C359" s="17"/>
      <c r="D359" s="23"/>
      <c r="E359" s="23"/>
      <c r="F359" s="17"/>
      <c r="G359" s="23"/>
      <c r="H359" s="23"/>
      <c r="I359" s="23"/>
      <c r="J359" s="23"/>
      <c r="K359" s="23"/>
      <c r="L359" s="122"/>
      <c r="M359" s="123"/>
      <c r="N359" s="48"/>
      <c r="O359" s="49"/>
      <c r="P359" s="49"/>
    </row>
    <row r="360" spans="1:16" ht="12" hidden="1">
      <c r="A360" s="37" t="s">
        <v>13</v>
      </c>
      <c r="B360" s="67">
        <v>4302</v>
      </c>
      <c r="C360" s="17"/>
      <c r="D360" s="23"/>
      <c r="E360" s="23"/>
      <c r="F360" s="17"/>
      <c r="G360" s="23"/>
      <c r="H360" s="23"/>
      <c r="I360" s="23"/>
      <c r="J360" s="23"/>
      <c r="K360" s="23"/>
      <c r="L360" s="122"/>
      <c r="M360" s="123"/>
      <c r="N360" s="48"/>
      <c r="O360" s="49"/>
      <c r="P360" s="49"/>
    </row>
    <row r="361" spans="1:16" ht="96" hidden="1">
      <c r="A361" s="25" t="s">
        <v>250</v>
      </c>
      <c r="B361" s="68">
        <v>4400</v>
      </c>
      <c r="C361" s="57" t="s">
        <v>12</v>
      </c>
      <c r="D361" s="58" t="s">
        <v>12</v>
      </c>
      <c r="E361" s="58" t="s">
        <v>12</v>
      </c>
      <c r="F361" s="57" t="s">
        <v>12</v>
      </c>
      <c r="G361" s="58" t="s">
        <v>12</v>
      </c>
      <c r="H361" s="58" t="s">
        <v>12</v>
      </c>
      <c r="I361" s="58"/>
      <c r="J361" s="58"/>
      <c r="K361" s="58"/>
      <c r="L361" s="124" t="s">
        <v>12</v>
      </c>
      <c r="M361" s="125" t="s">
        <v>12</v>
      </c>
      <c r="N361" s="50"/>
      <c r="O361" s="51">
        <f>SUM(O362:O363)</f>
        <v>0</v>
      </c>
      <c r="P361" s="51">
        <f>SUM(P362:P363)</f>
        <v>0</v>
      </c>
    </row>
    <row r="362" spans="1:16" ht="12" hidden="1">
      <c r="A362" s="37" t="s">
        <v>13</v>
      </c>
      <c r="B362" s="67">
        <v>4401</v>
      </c>
      <c r="C362" s="17"/>
      <c r="D362" s="23"/>
      <c r="E362" s="23"/>
      <c r="F362" s="17"/>
      <c r="G362" s="23"/>
      <c r="H362" s="23"/>
      <c r="I362" s="23"/>
      <c r="J362" s="23"/>
      <c r="K362" s="23"/>
      <c r="L362" s="122"/>
      <c r="M362" s="123"/>
      <c r="N362" s="48"/>
      <c r="O362" s="49"/>
      <c r="P362" s="49"/>
    </row>
    <row r="363" spans="1:16" ht="12" hidden="1">
      <c r="A363" s="37" t="s">
        <v>13</v>
      </c>
      <c r="B363" s="67">
        <v>4402</v>
      </c>
      <c r="C363" s="17"/>
      <c r="D363" s="23"/>
      <c r="E363" s="23"/>
      <c r="F363" s="17"/>
      <c r="G363" s="23"/>
      <c r="H363" s="23"/>
      <c r="I363" s="23"/>
      <c r="J363" s="23"/>
      <c r="K363" s="23"/>
      <c r="L363" s="122"/>
      <c r="M363" s="123"/>
      <c r="N363" s="48"/>
      <c r="O363" s="49"/>
      <c r="P363" s="49"/>
    </row>
    <row r="364" spans="1:16" ht="132" hidden="1">
      <c r="A364" s="25" t="s">
        <v>29</v>
      </c>
      <c r="B364" s="68">
        <v>4500</v>
      </c>
      <c r="C364" s="57" t="s">
        <v>12</v>
      </c>
      <c r="D364" s="58" t="s">
        <v>12</v>
      </c>
      <c r="E364" s="58" t="s">
        <v>12</v>
      </c>
      <c r="F364" s="57" t="s">
        <v>12</v>
      </c>
      <c r="G364" s="58" t="s">
        <v>12</v>
      </c>
      <c r="H364" s="58" t="s">
        <v>12</v>
      </c>
      <c r="I364" s="58"/>
      <c r="J364" s="58"/>
      <c r="K364" s="58"/>
      <c r="L364" s="124" t="s">
        <v>12</v>
      </c>
      <c r="M364" s="125" t="s">
        <v>12</v>
      </c>
      <c r="N364" s="50"/>
      <c r="O364" s="51">
        <f>O365+O403</f>
        <v>0</v>
      </c>
      <c r="P364" s="51">
        <f>P365+P403</f>
        <v>0</v>
      </c>
    </row>
    <row r="365" spans="1:16" ht="48" hidden="1">
      <c r="A365" s="25" t="s">
        <v>251</v>
      </c>
      <c r="B365" s="68">
        <v>4501</v>
      </c>
      <c r="C365" s="57" t="s">
        <v>12</v>
      </c>
      <c r="D365" s="58" t="s">
        <v>12</v>
      </c>
      <c r="E365" s="58" t="s">
        <v>12</v>
      </c>
      <c r="F365" s="57" t="s">
        <v>12</v>
      </c>
      <c r="G365" s="58" t="s">
        <v>12</v>
      </c>
      <c r="H365" s="58" t="s">
        <v>12</v>
      </c>
      <c r="I365" s="58"/>
      <c r="J365" s="58"/>
      <c r="K365" s="58"/>
      <c r="L365" s="124" t="s">
        <v>12</v>
      </c>
      <c r="M365" s="125" t="s">
        <v>12</v>
      </c>
      <c r="N365" s="50"/>
      <c r="O365" s="51">
        <f>SUM(O366:O402)</f>
        <v>0</v>
      </c>
      <c r="P365" s="51">
        <f>SUM(P366:P402)</f>
        <v>0</v>
      </c>
    </row>
    <row r="366" spans="1:16" ht="48" hidden="1">
      <c r="A366" s="37" t="s">
        <v>141</v>
      </c>
      <c r="B366" s="67">
        <v>4502</v>
      </c>
      <c r="C366" s="17"/>
      <c r="D366" s="23"/>
      <c r="E366" s="23"/>
      <c r="F366" s="17"/>
      <c r="G366" s="23"/>
      <c r="H366" s="23"/>
      <c r="I366" s="23"/>
      <c r="J366" s="23"/>
      <c r="K366" s="23"/>
      <c r="L366" s="122"/>
      <c r="M366" s="123"/>
      <c r="N366" s="48"/>
      <c r="O366" s="49"/>
      <c r="P366" s="49"/>
    </row>
    <row r="367" spans="1:16" ht="60" hidden="1">
      <c r="A367" s="37" t="s">
        <v>142</v>
      </c>
      <c r="B367" s="67">
        <v>4503</v>
      </c>
      <c r="C367" s="17"/>
      <c r="D367" s="23"/>
      <c r="E367" s="23"/>
      <c r="F367" s="17"/>
      <c r="G367" s="23"/>
      <c r="H367" s="23"/>
      <c r="I367" s="23"/>
      <c r="J367" s="23"/>
      <c r="K367" s="23"/>
      <c r="L367" s="122"/>
      <c r="M367" s="123"/>
      <c r="N367" s="48"/>
      <c r="O367" s="49"/>
      <c r="P367" s="49"/>
    </row>
    <row r="368" spans="1:16" ht="60" hidden="1">
      <c r="A368" s="37" t="s">
        <v>143</v>
      </c>
      <c r="B368" s="67">
        <v>4504</v>
      </c>
      <c r="C368" s="17"/>
      <c r="D368" s="23"/>
      <c r="E368" s="23"/>
      <c r="F368" s="17"/>
      <c r="G368" s="23"/>
      <c r="H368" s="23"/>
      <c r="I368" s="23"/>
      <c r="J368" s="23"/>
      <c r="K368" s="23"/>
      <c r="L368" s="122"/>
      <c r="M368" s="123"/>
      <c r="N368" s="48"/>
      <c r="O368" s="49"/>
      <c r="P368" s="49"/>
    </row>
    <row r="369" spans="1:16" ht="60" hidden="1">
      <c r="A369" s="37" t="s">
        <v>144</v>
      </c>
      <c r="B369" s="67">
        <v>4505</v>
      </c>
      <c r="C369" s="17"/>
      <c r="D369" s="23"/>
      <c r="E369" s="23"/>
      <c r="F369" s="17"/>
      <c r="G369" s="23"/>
      <c r="H369" s="23"/>
      <c r="I369" s="23"/>
      <c r="J369" s="23"/>
      <c r="K369" s="23"/>
      <c r="L369" s="122"/>
      <c r="M369" s="123"/>
      <c r="N369" s="48"/>
      <c r="O369" s="49"/>
      <c r="P369" s="49"/>
    </row>
    <row r="370" spans="1:16" ht="36" hidden="1">
      <c r="A370" s="37" t="s">
        <v>145</v>
      </c>
      <c r="B370" s="67">
        <v>4506</v>
      </c>
      <c r="C370" s="17"/>
      <c r="D370" s="23"/>
      <c r="E370" s="23"/>
      <c r="F370" s="17"/>
      <c r="G370" s="23"/>
      <c r="H370" s="23"/>
      <c r="I370" s="23"/>
      <c r="J370" s="23"/>
      <c r="K370" s="23"/>
      <c r="L370" s="122"/>
      <c r="M370" s="123"/>
      <c r="N370" s="48"/>
      <c r="O370" s="49"/>
      <c r="P370" s="49"/>
    </row>
    <row r="371" spans="1:16" ht="24" hidden="1">
      <c r="A371" s="37" t="s">
        <v>146</v>
      </c>
      <c r="B371" s="67">
        <v>4507</v>
      </c>
      <c r="C371" s="17"/>
      <c r="D371" s="23"/>
      <c r="E371" s="23"/>
      <c r="F371" s="17"/>
      <c r="G371" s="23"/>
      <c r="H371" s="23"/>
      <c r="I371" s="23"/>
      <c r="J371" s="23"/>
      <c r="K371" s="23"/>
      <c r="L371" s="122"/>
      <c r="M371" s="123"/>
      <c r="N371" s="48"/>
      <c r="O371" s="49"/>
      <c r="P371" s="49"/>
    </row>
    <row r="372" spans="1:16" ht="36" hidden="1">
      <c r="A372" s="37" t="s">
        <v>147</v>
      </c>
      <c r="B372" s="67">
        <v>4508</v>
      </c>
      <c r="C372" s="17"/>
      <c r="D372" s="23"/>
      <c r="E372" s="23"/>
      <c r="F372" s="17"/>
      <c r="G372" s="23"/>
      <c r="H372" s="23"/>
      <c r="I372" s="23"/>
      <c r="J372" s="23"/>
      <c r="K372" s="23"/>
      <c r="L372" s="122"/>
      <c r="M372" s="123"/>
      <c r="N372" s="48"/>
      <c r="O372" s="49"/>
      <c r="P372" s="49"/>
    </row>
    <row r="373" spans="1:16" ht="36" hidden="1">
      <c r="A373" s="37" t="s">
        <v>148</v>
      </c>
      <c r="B373" s="67">
        <v>4509</v>
      </c>
      <c r="C373" s="17"/>
      <c r="D373" s="23"/>
      <c r="E373" s="23"/>
      <c r="F373" s="17"/>
      <c r="G373" s="23"/>
      <c r="H373" s="23"/>
      <c r="I373" s="23"/>
      <c r="J373" s="23"/>
      <c r="K373" s="23"/>
      <c r="L373" s="122"/>
      <c r="M373" s="123"/>
      <c r="N373" s="48"/>
      <c r="O373" s="49"/>
      <c r="P373" s="49"/>
    </row>
    <row r="374" spans="1:16" ht="24" hidden="1">
      <c r="A374" s="37" t="s">
        <v>149</v>
      </c>
      <c r="B374" s="67">
        <v>4510</v>
      </c>
      <c r="C374" s="17"/>
      <c r="D374" s="23"/>
      <c r="E374" s="23"/>
      <c r="F374" s="17"/>
      <c r="G374" s="23"/>
      <c r="H374" s="23"/>
      <c r="I374" s="23"/>
      <c r="J374" s="23"/>
      <c r="K374" s="23"/>
      <c r="L374" s="122"/>
      <c r="M374" s="123"/>
      <c r="N374" s="48"/>
      <c r="O374" s="49"/>
      <c r="P374" s="49"/>
    </row>
    <row r="375" spans="1:16" ht="48" hidden="1">
      <c r="A375" s="37" t="s">
        <v>150</v>
      </c>
      <c r="B375" s="67">
        <v>4511</v>
      </c>
      <c r="C375" s="17"/>
      <c r="D375" s="23"/>
      <c r="E375" s="23"/>
      <c r="F375" s="17"/>
      <c r="G375" s="23"/>
      <c r="H375" s="23"/>
      <c r="I375" s="23"/>
      <c r="J375" s="23"/>
      <c r="K375" s="23"/>
      <c r="L375" s="122"/>
      <c r="M375" s="123"/>
      <c r="N375" s="48"/>
      <c r="O375" s="49"/>
      <c r="P375" s="49"/>
    </row>
    <row r="376" spans="1:16" ht="24" hidden="1">
      <c r="A376" s="37" t="s">
        <v>151</v>
      </c>
      <c r="B376" s="67">
        <v>4512</v>
      </c>
      <c r="C376" s="17"/>
      <c r="D376" s="23"/>
      <c r="E376" s="23"/>
      <c r="F376" s="17"/>
      <c r="G376" s="23"/>
      <c r="H376" s="23"/>
      <c r="I376" s="23"/>
      <c r="J376" s="23"/>
      <c r="K376" s="23"/>
      <c r="L376" s="122"/>
      <c r="M376" s="123"/>
      <c r="N376" s="48"/>
      <c r="O376" s="49"/>
      <c r="P376" s="49"/>
    </row>
    <row r="377" spans="1:16" ht="72" hidden="1">
      <c r="A377" s="37" t="s">
        <v>181</v>
      </c>
      <c r="B377" s="67">
        <v>4513</v>
      </c>
      <c r="C377" s="17"/>
      <c r="D377" s="23"/>
      <c r="E377" s="23"/>
      <c r="F377" s="17"/>
      <c r="G377" s="23"/>
      <c r="H377" s="23"/>
      <c r="I377" s="23"/>
      <c r="J377" s="23"/>
      <c r="K377" s="23"/>
      <c r="L377" s="122"/>
      <c r="M377" s="123"/>
      <c r="N377" s="48"/>
      <c r="O377" s="49"/>
      <c r="P377" s="49"/>
    </row>
    <row r="378" spans="1:16" ht="36" hidden="1">
      <c r="A378" s="37" t="s">
        <v>152</v>
      </c>
      <c r="B378" s="67">
        <v>4514</v>
      </c>
      <c r="C378" s="17"/>
      <c r="D378" s="23"/>
      <c r="E378" s="23"/>
      <c r="F378" s="17"/>
      <c r="G378" s="23"/>
      <c r="H378" s="23"/>
      <c r="I378" s="23"/>
      <c r="J378" s="23"/>
      <c r="K378" s="23"/>
      <c r="L378" s="122"/>
      <c r="M378" s="123"/>
      <c r="N378" s="48"/>
      <c r="O378" s="49"/>
      <c r="P378" s="49"/>
    </row>
    <row r="379" spans="1:16" ht="24" hidden="1">
      <c r="A379" s="37" t="s">
        <v>153</v>
      </c>
      <c r="B379" s="67">
        <v>4515</v>
      </c>
      <c r="C379" s="17"/>
      <c r="D379" s="23"/>
      <c r="E379" s="23"/>
      <c r="F379" s="17"/>
      <c r="G379" s="23"/>
      <c r="H379" s="23"/>
      <c r="I379" s="23"/>
      <c r="J379" s="23"/>
      <c r="K379" s="23"/>
      <c r="L379" s="122"/>
      <c r="M379" s="123"/>
      <c r="N379" s="48"/>
      <c r="O379" s="49"/>
      <c r="P379" s="49"/>
    </row>
    <row r="380" spans="1:16" ht="84" hidden="1">
      <c r="A380" s="37" t="s">
        <v>154</v>
      </c>
      <c r="B380" s="67">
        <v>4516</v>
      </c>
      <c r="C380" s="17"/>
      <c r="D380" s="23"/>
      <c r="E380" s="23"/>
      <c r="F380" s="17"/>
      <c r="G380" s="23"/>
      <c r="H380" s="23"/>
      <c r="I380" s="23"/>
      <c r="J380" s="23"/>
      <c r="K380" s="23"/>
      <c r="L380" s="122"/>
      <c r="M380" s="123"/>
      <c r="N380" s="48"/>
      <c r="O380" s="49"/>
      <c r="P380" s="49"/>
    </row>
    <row r="381" spans="1:16" ht="36" hidden="1">
      <c r="A381" s="37" t="s">
        <v>155</v>
      </c>
      <c r="B381" s="67">
        <v>4517</v>
      </c>
      <c r="C381" s="17"/>
      <c r="D381" s="23"/>
      <c r="E381" s="23"/>
      <c r="F381" s="17"/>
      <c r="G381" s="23"/>
      <c r="H381" s="23"/>
      <c r="I381" s="23"/>
      <c r="J381" s="23"/>
      <c r="K381" s="23"/>
      <c r="L381" s="122"/>
      <c r="M381" s="123"/>
      <c r="N381" s="48"/>
      <c r="O381" s="49"/>
      <c r="P381" s="49"/>
    </row>
    <row r="382" spans="1:16" ht="60" hidden="1">
      <c r="A382" s="37" t="s">
        <v>156</v>
      </c>
      <c r="B382" s="67">
        <v>4518</v>
      </c>
      <c r="C382" s="17"/>
      <c r="D382" s="23"/>
      <c r="E382" s="23"/>
      <c r="F382" s="17"/>
      <c r="G382" s="23"/>
      <c r="H382" s="23"/>
      <c r="I382" s="23"/>
      <c r="J382" s="23"/>
      <c r="K382" s="23"/>
      <c r="L382" s="122"/>
      <c r="M382" s="123"/>
      <c r="N382" s="48"/>
      <c r="O382" s="49"/>
      <c r="P382" s="49"/>
    </row>
    <row r="383" spans="1:16" ht="36" hidden="1">
      <c r="A383" s="37" t="s">
        <v>157</v>
      </c>
      <c r="B383" s="67">
        <v>4519</v>
      </c>
      <c r="C383" s="17"/>
      <c r="D383" s="23"/>
      <c r="E383" s="23"/>
      <c r="F383" s="17"/>
      <c r="G383" s="23"/>
      <c r="H383" s="23"/>
      <c r="I383" s="23"/>
      <c r="J383" s="23"/>
      <c r="K383" s="23"/>
      <c r="L383" s="122"/>
      <c r="M383" s="123"/>
      <c r="N383" s="48"/>
      <c r="O383" s="49"/>
      <c r="P383" s="49"/>
    </row>
    <row r="384" spans="1:16" ht="72" hidden="1">
      <c r="A384" s="37" t="s">
        <v>158</v>
      </c>
      <c r="B384" s="67">
        <v>4520</v>
      </c>
      <c r="C384" s="17"/>
      <c r="D384" s="23"/>
      <c r="E384" s="23"/>
      <c r="F384" s="17"/>
      <c r="G384" s="23"/>
      <c r="H384" s="23"/>
      <c r="I384" s="23"/>
      <c r="J384" s="23"/>
      <c r="K384" s="23"/>
      <c r="L384" s="122"/>
      <c r="M384" s="123"/>
      <c r="N384" s="48"/>
      <c r="O384" s="49"/>
      <c r="P384" s="49"/>
    </row>
    <row r="385" spans="1:16" ht="168" hidden="1">
      <c r="A385" s="37" t="s">
        <v>159</v>
      </c>
      <c r="B385" s="67">
        <v>4521</v>
      </c>
      <c r="C385" s="17"/>
      <c r="D385" s="23"/>
      <c r="E385" s="23"/>
      <c r="F385" s="17"/>
      <c r="G385" s="23"/>
      <c r="H385" s="23"/>
      <c r="I385" s="23"/>
      <c r="J385" s="23"/>
      <c r="K385" s="23"/>
      <c r="L385" s="122"/>
      <c r="M385" s="123"/>
      <c r="N385" s="48"/>
      <c r="O385" s="49"/>
      <c r="P385" s="49"/>
    </row>
    <row r="386" spans="1:16" ht="48" hidden="1">
      <c r="A386" s="37" t="s">
        <v>160</v>
      </c>
      <c r="B386" s="67">
        <v>4522</v>
      </c>
      <c r="C386" s="17"/>
      <c r="D386" s="23"/>
      <c r="E386" s="23"/>
      <c r="F386" s="17"/>
      <c r="G386" s="23"/>
      <c r="H386" s="23"/>
      <c r="I386" s="23"/>
      <c r="J386" s="23"/>
      <c r="K386" s="23"/>
      <c r="L386" s="122"/>
      <c r="M386" s="123"/>
      <c r="N386" s="48"/>
      <c r="O386" s="49"/>
      <c r="P386" s="49"/>
    </row>
    <row r="387" spans="1:16" ht="36" hidden="1">
      <c r="A387" s="37" t="s">
        <v>157</v>
      </c>
      <c r="B387" s="67">
        <v>4523</v>
      </c>
      <c r="C387" s="17"/>
      <c r="D387" s="23"/>
      <c r="E387" s="23"/>
      <c r="F387" s="17"/>
      <c r="G387" s="23"/>
      <c r="H387" s="23"/>
      <c r="I387" s="23"/>
      <c r="J387" s="23"/>
      <c r="K387" s="23"/>
      <c r="L387" s="122"/>
      <c r="M387" s="123"/>
      <c r="N387" s="48"/>
      <c r="O387" s="49"/>
      <c r="P387" s="49"/>
    </row>
    <row r="388" spans="1:16" ht="24" hidden="1">
      <c r="A388" s="37" t="s">
        <v>161</v>
      </c>
      <c r="B388" s="67">
        <v>4524</v>
      </c>
      <c r="C388" s="17"/>
      <c r="D388" s="23"/>
      <c r="E388" s="23"/>
      <c r="F388" s="17"/>
      <c r="G388" s="23"/>
      <c r="H388" s="23"/>
      <c r="I388" s="23"/>
      <c r="J388" s="23"/>
      <c r="K388" s="23"/>
      <c r="L388" s="122"/>
      <c r="M388" s="123"/>
      <c r="N388" s="48"/>
      <c r="O388" s="49"/>
      <c r="P388" s="49"/>
    </row>
    <row r="389" spans="1:16" ht="48" hidden="1">
      <c r="A389" s="37" t="s">
        <v>162</v>
      </c>
      <c r="B389" s="67">
        <v>4525</v>
      </c>
      <c r="C389" s="17"/>
      <c r="D389" s="23"/>
      <c r="E389" s="23"/>
      <c r="F389" s="17"/>
      <c r="G389" s="23"/>
      <c r="H389" s="23"/>
      <c r="I389" s="23"/>
      <c r="J389" s="23"/>
      <c r="K389" s="23"/>
      <c r="L389" s="122"/>
      <c r="M389" s="123"/>
      <c r="N389" s="48"/>
      <c r="O389" s="49"/>
      <c r="P389" s="49"/>
    </row>
    <row r="390" spans="1:16" ht="36" hidden="1">
      <c r="A390" s="37" t="s">
        <v>157</v>
      </c>
      <c r="B390" s="67">
        <v>4526</v>
      </c>
      <c r="C390" s="17"/>
      <c r="D390" s="23"/>
      <c r="E390" s="23"/>
      <c r="F390" s="17"/>
      <c r="G390" s="23"/>
      <c r="H390" s="23"/>
      <c r="I390" s="23"/>
      <c r="J390" s="23"/>
      <c r="K390" s="23"/>
      <c r="L390" s="122"/>
      <c r="M390" s="123"/>
      <c r="N390" s="48"/>
      <c r="O390" s="49"/>
      <c r="P390" s="49"/>
    </row>
    <row r="391" spans="1:16" ht="72" hidden="1">
      <c r="A391" s="37" t="s">
        <v>163</v>
      </c>
      <c r="B391" s="67">
        <v>4527</v>
      </c>
      <c r="C391" s="17"/>
      <c r="D391" s="23"/>
      <c r="E391" s="23"/>
      <c r="F391" s="17"/>
      <c r="G391" s="23"/>
      <c r="H391" s="23"/>
      <c r="I391" s="23"/>
      <c r="J391" s="23"/>
      <c r="K391" s="23"/>
      <c r="L391" s="122"/>
      <c r="M391" s="123"/>
      <c r="N391" s="48"/>
      <c r="O391" s="49"/>
      <c r="P391" s="49"/>
    </row>
    <row r="392" spans="1:16" ht="96" hidden="1">
      <c r="A392" s="37" t="s">
        <v>164</v>
      </c>
      <c r="B392" s="67">
        <v>4528</v>
      </c>
      <c r="C392" s="17"/>
      <c r="D392" s="23"/>
      <c r="E392" s="23"/>
      <c r="F392" s="17"/>
      <c r="G392" s="23"/>
      <c r="H392" s="23"/>
      <c r="I392" s="23"/>
      <c r="J392" s="23"/>
      <c r="K392" s="23"/>
      <c r="L392" s="122"/>
      <c r="M392" s="123"/>
      <c r="N392" s="48"/>
      <c r="O392" s="49"/>
      <c r="P392" s="49"/>
    </row>
    <row r="393" spans="1:16" ht="96" hidden="1">
      <c r="A393" s="37" t="s">
        <v>165</v>
      </c>
      <c r="B393" s="67">
        <v>4529</v>
      </c>
      <c r="C393" s="17"/>
      <c r="D393" s="23"/>
      <c r="E393" s="23"/>
      <c r="F393" s="17"/>
      <c r="G393" s="23"/>
      <c r="H393" s="23"/>
      <c r="I393" s="23"/>
      <c r="J393" s="23"/>
      <c r="K393" s="23"/>
      <c r="L393" s="122"/>
      <c r="M393" s="123"/>
      <c r="N393" s="48"/>
      <c r="O393" s="49"/>
      <c r="P393" s="49"/>
    </row>
    <row r="394" spans="1:16" ht="60" hidden="1">
      <c r="A394" s="37" t="s">
        <v>166</v>
      </c>
      <c r="B394" s="67">
        <v>4530</v>
      </c>
      <c r="C394" s="17"/>
      <c r="D394" s="23"/>
      <c r="E394" s="23"/>
      <c r="F394" s="17"/>
      <c r="G394" s="23"/>
      <c r="H394" s="23"/>
      <c r="I394" s="23"/>
      <c r="J394" s="23"/>
      <c r="K394" s="23"/>
      <c r="L394" s="122"/>
      <c r="M394" s="123"/>
      <c r="N394" s="48"/>
      <c r="O394" s="49"/>
      <c r="P394" s="49"/>
    </row>
    <row r="395" spans="1:16" ht="96" hidden="1">
      <c r="A395" s="37" t="s">
        <v>167</v>
      </c>
      <c r="B395" s="67">
        <v>4531</v>
      </c>
      <c r="C395" s="17"/>
      <c r="D395" s="23"/>
      <c r="E395" s="23"/>
      <c r="F395" s="17"/>
      <c r="G395" s="23"/>
      <c r="H395" s="23"/>
      <c r="I395" s="23"/>
      <c r="J395" s="23"/>
      <c r="K395" s="23"/>
      <c r="L395" s="122"/>
      <c r="M395" s="123"/>
      <c r="N395" s="48"/>
      <c r="O395" s="49"/>
      <c r="P395" s="49"/>
    </row>
    <row r="396" spans="1:16" ht="72" hidden="1">
      <c r="A396" s="37" t="s">
        <v>168</v>
      </c>
      <c r="B396" s="67">
        <v>4532</v>
      </c>
      <c r="C396" s="17"/>
      <c r="D396" s="23"/>
      <c r="E396" s="23"/>
      <c r="F396" s="17"/>
      <c r="G396" s="23"/>
      <c r="H396" s="23"/>
      <c r="I396" s="23"/>
      <c r="J396" s="23"/>
      <c r="K396" s="23"/>
      <c r="L396" s="122"/>
      <c r="M396" s="123"/>
      <c r="N396" s="48"/>
      <c r="O396" s="49"/>
      <c r="P396" s="49"/>
    </row>
    <row r="397" spans="1:16" ht="24" hidden="1">
      <c r="A397" s="37" t="s">
        <v>169</v>
      </c>
      <c r="B397" s="67">
        <v>4533</v>
      </c>
      <c r="C397" s="17"/>
      <c r="D397" s="23"/>
      <c r="E397" s="23"/>
      <c r="F397" s="17"/>
      <c r="G397" s="23"/>
      <c r="H397" s="23"/>
      <c r="I397" s="23"/>
      <c r="J397" s="23"/>
      <c r="K397" s="23"/>
      <c r="L397" s="122"/>
      <c r="M397" s="123"/>
      <c r="N397" s="48"/>
      <c r="O397" s="49"/>
      <c r="P397" s="49"/>
    </row>
    <row r="398" spans="1:16" ht="24" hidden="1">
      <c r="A398" s="37" t="s">
        <v>170</v>
      </c>
      <c r="B398" s="67">
        <v>4534</v>
      </c>
      <c r="C398" s="17"/>
      <c r="D398" s="23"/>
      <c r="E398" s="23"/>
      <c r="F398" s="17"/>
      <c r="G398" s="23"/>
      <c r="H398" s="23"/>
      <c r="I398" s="23"/>
      <c r="J398" s="23"/>
      <c r="K398" s="23"/>
      <c r="L398" s="122"/>
      <c r="M398" s="123"/>
      <c r="N398" s="48"/>
      <c r="O398" s="49"/>
      <c r="P398" s="49"/>
    </row>
    <row r="399" spans="1:16" ht="60" hidden="1">
      <c r="A399" s="37" t="s">
        <v>171</v>
      </c>
      <c r="B399" s="67">
        <v>4535</v>
      </c>
      <c r="C399" s="17"/>
      <c r="D399" s="23"/>
      <c r="E399" s="23"/>
      <c r="F399" s="17"/>
      <c r="G399" s="23"/>
      <c r="H399" s="23"/>
      <c r="I399" s="23"/>
      <c r="J399" s="23"/>
      <c r="K399" s="23"/>
      <c r="L399" s="122"/>
      <c r="M399" s="123"/>
      <c r="N399" s="48"/>
      <c r="O399" s="49"/>
      <c r="P399" s="49"/>
    </row>
    <row r="400" spans="1:16" ht="36" hidden="1">
      <c r="A400" s="37" t="s">
        <v>172</v>
      </c>
      <c r="B400" s="67">
        <v>4536</v>
      </c>
      <c r="C400" s="17"/>
      <c r="D400" s="23"/>
      <c r="E400" s="23"/>
      <c r="F400" s="17"/>
      <c r="G400" s="23"/>
      <c r="H400" s="23"/>
      <c r="I400" s="23"/>
      <c r="J400" s="23"/>
      <c r="K400" s="23"/>
      <c r="L400" s="122"/>
      <c r="M400" s="123"/>
      <c r="N400" s="48"/>
      <c r="O400" s="49"/>
      <c r="P400" s="49"/>
    </row>
    <row r="401" spans="1:16" ht="12" hidden="1">
      <c r="A401" s="37" t="s">
        <v>13</v>
      </c>
      <c r="B401" s="67">
        <v>4537</v>
      </c>
      <c r="C401" s="17"/>
      <c r="D401" s="23"/>
      <c r="E401" s="23"/>
      <c r="F401" s="17"/>
      <c r="G401" s="23"/>
      <c r="H401" s="23"/>
      <c r="I401" s="23"/>
      <c r="J401" s="23"/>
      <c r="K401" s="23"/>
      <c r="L401" s="122"/>
      <c r="M401" s="123"/>
      <c r="N401" s="48"/>
      <c r="O401" s="49"/>
      <c r="P401" s="49"/>
    </row>
    <row r="402" spans="1:16" ht="12" hidden="1">
      <c r="A402" s="37" t="s">
        <v>13</v>
      </c>
      <c r="B402" s="67">
        <v>4538</v>
      </c>
      <c r="C402" s="17"/>
      <c r="D402" s="23"/>
      <c r="E402" s="23"/>
      <c r="F402" s="17"/>
      <c r="G402" s="23"/>
      <c r="H402" s="23"/>
      <c r="I402" s="23"/>
      <c r="J402" s="23"/>
      <c r="K402" s="23"/>
      <c r="L402" s="122"/>
      <c r="M402" s="123"/>
      <c r="N402" s="48"/>
      <c r="O402" s="49"/>
      <c r="P402" s="49"/>
    </row>
    <row r="403" spans="1:16" ht="48" hidden="1">
      <c r="A403" s="25" t="s">
        <v>252</v>
      </c>
      <c r="B403" s="68">
        <v>4600</v>
      </c>
      <c r="C403" s="57" t="s">
        <v>12</v>
      </c>
      <c r="D403" s="58" t="s">
        <v>12</v>
      </c>
      <c r="E403" s="58" t="s">
        <v>12</v>
      </c>
      <c r="F403" s="57" t="s">
        <v>12</v>
      </c>
      <c r="G403" s="58" t="s">
        <v>12</v>
      </c>
      <c r="H403" s="58" t="s">
        <v>12</v>
      </c>
      <c r="I403" s="58"/>
      <c r="J403" s="58"/>
      <c r="K403" s="58"/>
      <c r="L403" s="124" t="s">
        <v>12</v>
      </c>
      <c r="M403" s="125" t="s">
        <v>12</v>
      </c>
      <c r="N403" s="50"/>
      <c r="O403" s="51">
        <f>SUM(O404:O405)</f>
        <v>0</v>
      </c>
      <c r="P403" s="51">
        <f>SUM(P404:P405)</f>
        <v>0</v>
      </c>
    </row>
    <row r="404" spans="1:16" ht="12" hidden="1">
      <c r="A404" s="37" t="s">
        <v>13</v>
      </c>
      <c r="B404" s="67">
        <v>4601</v>
      </c>
      <c r="C404" s="17"/>
      <c r="D404" s="23"/>
      <c r="E404" s="23"/>
      <c r="F404" s="17"/>
      <c r="G404" s="23"/>
      <c r="H404" s="23"/>
      <c r="I404" s="23"/>
      <c r="J404" s="23"/>
      <c r="K404" s="23"/>
      <c r="L404" s="122"/>
      <c r="M404" s="123"/>
      <c r="N404" s="48"/>
      <c r="O404" s="49"/>
      <c r="P404" s="49"/>
    </row>
    <row r="405" spans="1:16" ht="12" hidden="1">
      <c r="A405" s="37" t="s">
        <v>13</v>
      </c>
      <c r="B405" s="67">
        <v>4602</v>
      </c>
      <c r="C405" s="17"/>
      <c r="D405" s="23"/>
      <c r="E405" s="23"/>
      <c r="F405" s="17"/>
      <c r="G405" s="23"/>
      <c r="H405" s="23"/>
      <c r="I405" s="23"/>
      <c r="J405" s="23"/>
      <c r="K405" s="23"/>
      <c r="L405" s="122"/>
      <c r="M405" s="123"/>
      <c r="N405" s="48"/>
      <c r="O405" s="49"/>
      <c r="P405" s="49"/>
    </row>
    <row r="406" spans="1:16" ht="108" hidden="1">
      <c r="A406" s="25" t="s">
        <v>30</v>
      </c>
      <c r="B406" s="68">
        <v>4700</v>
      </c>
      <c r="C406" s="57" t="s">
        <v>12</v>
      </c>
      <c r="D406" s="58" t="s">
        <v>12</v>
      </c>
      <c r="E406" s="58" t="s">
        <v>12</v>
      </c>
      <c r="F406" s="57" t="s">
        <v>12</v>
      </c>
      <c r="G406" s="58" t="s">
        <v>12</v>
      </c>
      <c r="H406" s="58" t="s">
        <v>12</v>
      </c>
      <c r="I406" s="58"/>
      <c r="J406" s="58"/>
      <c r="K406" s="58"/>
      <c r="L406" s="124" t="s">
        <v>12</v>
      </c>
      <c r="M406" s="125" t="s">
        <v>12</v>
      </c>
      <c r="N406" s="50"/>
      <c r="O406" s="51">
        <f>O407+O412</f>
        <v>0</v>
      </c>
      <c r="P406" s="51">
        <f>P407+P412</f>
        <v>0</v>
      </c>
    </row>
    <row r="407" spans="1:16" ht="12" hidden="1">
      <c r="A407" s="25" t="s">
        <v>31</v>
      </c>
      <c r="B407" s="68">
        <v>4701</v>
      </c>
      <c r="C407" s="57" t="s">
        <v>12</v>
      </c>
      <c r="D407" s="58" t="s">
        <v>12</v>
      </c>
      <c r="E407" s="58" t="s">
        <v>12</v>
      </c>
      <c r="F407" s="57" t="s">
        <v>12</v>
      </c>
      <c r="G407" s="58" t="s">
        <v>12</v>
      </c>
      <c r="H407" s="58" t="s">
        <v>12</v>
      </c>
      <c r="I407" s="58"/>
      <c r="J407" s="58"/>
      <c r="K407" s="58"/>
      <c r="L407" s="124" t="s">
        <v>12</v>
      </c>
      <c r="M407" s="125" t="s">
        <v>12</v>
      </c>
      <c r="N407" s="50"/>
      <c r="O407" s="51">
        <f>O408+O409</f>
        <v>0</v>
      </c>
      <c r="P407" s="51">
        <f>P408+P409</f>
        <v>0</v>
      </c>
    </row>
    <row r="408" spans="1:16" ht="24" hidden="1">
      <c r="A408" s="25" t="s">
        <v>32</v>
      </c>
      <c r="B408" s="67">
        <v>4702</v>
      </c>
      <c r="C408" s="17"/>
      <c r="D408" s="23"/>
      <c r="E408" s="23"/>
      <c r="F408" s="17"/>
      <c r="G408" s="23"/>
      <c r="H408" s="23"/>
      <c r="I408" s="23"/>
      <c r="J408" s="23"/>
      <c r="K408" s="23"/>
      <c r="L408" s="122"/>
      <c r="M408" s="123"/>
      <c r="N408" s="48"/>
      <c r="O408" s="49"/>
      <c r="P408" s="49"/>
    </row>
    <row r="409" spans="1:16" ht="48" hidden="1">
      <c r="A409" s="25" t="s">
        <v>253</v>
      </c>
      <c r="B409" s="68">
        <v>4703</v>
      </c>
      <c r="C409" s="57" t="s">
        <v>12</v>
      </c>
      <c r="D409" s="58" t="s">
        <v>12</v>
      </c>
      <c r="E409" s="58" t="s">
        <v>12</v>
      </c>
      <c r="F409" s="57" t="s">
        <v>12</v>
      </c>
      <c r="G409" s="58" t="s">
        <v>12</v>
      </c>
      <c r="H409" s="58" t="s">
        <v>12</v>
      </c>
      <c r="I409" s="58"/>
      <c r="J409" s="58"/>
      <c r="K409" s="58"/>
      <c r="L409" s="124" t="s">
        <v>12</v>
      </c>
      <c r="M409" s="125" t="s">
        <v>12</v>
      </c>
      <c r="N409" s="50"/>
      <c r="O409" s="51">
        <f>SUM(O410:O411)</f>
        <v>0</v>
      </c>
      <c r="P409" s="51">
        <f>SUM(P410:P411)</f>
        <v>0</v>
      </c>
    </row>
    <row r="410" spans="1:16" ht="12" hidden="1">
      <c r="A410" s="37" t="s">
        <v>13</v>
      </c>
      <c r="B410" s="67">
        <v>4704</v>
      </c>
      <c r="C410" s="17"/>
      <c r="D410" s="23"/>
      <c r="E410" s="23"/>
      <c r="F410" s="17"/>
      <c r="G410" s="23"/>
      <c r="H410" s="23"/>
      <c r="I410" s="23"/>
      <c r="J410" s="23"/>
      <c r="K410" s="23"/>
      <c r="L410" s="122"/>
      <c r="M410" s="123"/>
      <c r="N410" s="48"/>
      <c r="O410" s="49"/>
      <c r="P410" s="49"/>
    </row>
    <row r="411" spans="1:16" ht="12" hidden="1">
      <c r="A411" s="37" t="s">
        <v>13</v>
      </c>
      <c r="B411" s="67">
        <v>4705</v>
      </c>
      <c r="C411" s="17"/>
      <c r="D411" s="23"/>
      <c r="E411" s="23"/>
      <c r="F411" s="17"/>
      <c r="G411" s="23"/>
      <c r="H411" s="23"/>
      <c r="I411" s="23"/>
      <c r="J411" s="23"/>
      <c r="K411" s="23"/>
      <c r="L411" s="122"/>
      <c r="M411" s="123"/>
      <c r="N411" s="48"/>
      <c r="O411" s="49"/>
      <c r="P411" s="49"/>
    </row>
    <row r="412" spans="1:16" ht="24" hidden="1">
      <c r="A412" s="25" t="s">
        <v>33</v>
      </c>
      <c r="B412" s="68">
        <v>4800</v>
      </c>
      <c r="C412" s="57" t="s">
        <v>12</v>
      </c>
      <c r="D412" s="58" t="s">
        <v>12</v>
      </c>
      <c r="E412" s="58" t="s">
        <v>12</v>
      </c>
      <c r="F412" s="57" t="s">
        <v>12</v>
      </c>
      <c r="G412" s="58" t="s">
        <v>12</v>
      </c>
      <c r="H412" s="58" t="s">
        <v>12</v>
      </c>
      <c r="I412" s="58"/>
      <c r="J412" s="58"/>
      <c r="K412" s="58"/>
      <c r="L412" s="124" t="s">
        <v>12</v>
      </c>
      <c r="M412" s="125" t="s">
        <v>12</v>
      </c>
      <c r="N412" s="50"/>
      <c r="O412" s="51">
        <f>O413+O416</f>
        <v>0</v>
      </c>
      <c r="P412" s="51">
        <f>P413+P416</f>
        <v>0</v>
      </c>
    </row>
    <row r="413" spans="1:16" ht="96" hidden="1">
      <c r="A413" s="25" t="s">
        <v>254</v>
      </c>
      <c r="B413" s="68">
        <v>4801</v>
      </c>
      <c r="C413" s="57" t="s">
        <v>12</v>
      </c>
      <c r="D413" s="58" t="s">
        <v>12</v>
      </c>
      <c r="E413" s="58" t="s">
        <v>12</v>
      </c>
      <c r="F413" s="57" t="s">
        <v>12</v>
      </c>
      <c r="G413" s="58" t="s">
        <v>12</v>
      </c>
      <c r="H413" s="58" t="s">
        <v>12</v>
      </c>
      <c r="I413" s="58"/>
      <c r="J413" s="58"/>
      <c r="K413" s="58"/>
      <c r="L413" s="124" t="s">
        <v>12</v>
      </c>
      <c r="M413" s="125" t="s">
        <v>12</v>
      </c>
      <c r="N413" s="50"/>
      <c r="O413" s="51">
        <f>SUM(O414:O415)</f>
        <v>0</v>
      </c>
      <c r="P413" s="51">
        <f>SUM(P414:P415)</f>
        <v>0</v>
      </c>
    </row>
    <row r="414" spans="1:16" ht="12" hidden="1">
      <c r="A414" s="37" t="s">
        <v>13</v>
      </c>
      <c r="B414" s="67">
        <v>4802</v>
      </c>
      <c r="C414" s="17"/>
      <c r="D414" s="23"/>
      <c r="E414" s="23"/>
      <c r="F414" s="17"/>
      <c r="G414" s="23"/>
      <c r="H414" s="23"/>
      <c r="I414" s="23"/>
      <c r="J414" s="23"/>
      <c r="K414" s="23"/>
      <c r="L414" s="122"/>
      <c r="M414" s="123"/>
      <c r="N414" s="48"/>
      <c r="O414" s="49"/>
      <c r="P414" s="49"/>
    </row>
    <row r="415" spans="1:16" ht="12" hidden="1">
      <c r="A415" s="37" t="s">
        <v>13</v>
      </c>
      <c r="B415" s="67">
        <v>4803</v>
      </c>
      <c r="C415" s="17"/>
      <c r="D415" s="23"/>
      <c r="E415" s="23"/>
      <c r="F415" s="17"/>
      <c r="G415" s="23"/>
      <c r="H415" s="23"/>
      <c r="I415" s="23"/>
      <c r="J415" s="23"/>
      <c r="K415" s="23"/>
      <c r="L415" s="122"/>
      <c r="M415" s="123"/>
      <c r="N415" s="48"/>
      <c r="O415" s="49"/>
      <c r="P415" s="49"/>
    </row>
    <row r="416" spans="1:16" ht="36" hidden="1">
      <c r="A416" s="25" t="s">
        <v>255</v>
      </c>
      <c r="B416" s="68">
        <v>4900</v>
      </c>
      <c r="C416" s="57" t="s">
        <v>12</v>
      </c>
      <c r="D416" s="58" t="s">
        <v>12</v>
      </c>
      <c r="E416" s="58" t="s">
        <v>12</v>
      </c>
      <c r="F416" s="57" t="s">
        <v>12</v>
      </c>
      <c r="G416" s="58" t="s">
        <v>12</v>
      </c>
      <c r="H416" s="58" t="s">
        <v>12</v>
      </c>
      <c r="I416" s="58"/>
      <c r="J416" s="58"/>
      <c r="K416" s="58"/>
      <c r="L416" s="124" t="s">
        <v>12</v>
      </c>
      <c r="M416" s="125" t="s">
        <v>12</v>
      </c>
      <c r="N416" s="50"/>
      <c r="O416" s="51">
        <f>SUM(O417:O418)</f>
        <v>0</v>
      </c>
      <c r="P416" s="51">
        <f>SUM(P417:P418)</f>
        <v>0</v>
      </c>
    </row>
    <row r="417" spans="1:16" ht="12" hidden="1">
      <c r="A417" s="37" t="s">
        <v>13</v>
      </c>
      <c r="B417" s="67">
        <v>4901</v>
      </c>
      <c r="C417" s="17"/>
      <c r="D417" s="23"/>
      <c r="E417" s="23"/>
      <c r="F417" s="17"/>
      <c r="G417" s="23"/>
      <c r="H417" s="23"/>
      <c r="I417" s="23"/>
      <c r="J417" s="23"/>
      <c r="K417" s="23"/>
      <c r="L417" s="122"/>
      <c r="M417" s="123"/>
      <c r="N417" s="48"/>
      <c r="O417" s="49"/>
      <c r="P417" s="49"/>
    </row>
    <row r="418" spans="1:16" ht="12" hidden="1">
      <c r="A418" s="37" t="s">
        <v>13</v>
      </c>
      <c r="B418" s="67">
        <v>4902</v>
      </c>
      <c r="C418" s="17"/>
      <c r="D418" s="23"/>
      <c r="E418" s="23"/>
      <c r="F418" s="17"/>
      <c r="G418" s="23"/>
      <c r="H418" s="23"/>
      <c r="I418" s="23"/>
      <c r="J418" s="23"/>
      <c r="K418" s="23"/>
      <c r="L418" s="122"/>
      <c r="M418" s="123"/>
      <c r="N418" s="48"/>
      <c r="O418" s="49"/>
      <c r="P418" s="49"/>
    </row>
    <row r="419" spans="1:16" ht="60" hidden="1">
      <c r="A419" s="24" t="s">
        <v>34</v>
      </c>
      <c r="B419" s="68">
        <v>5000</v>
      </c>
      <c r="C419" s="57" t="s">
        <v>12</v>
      </c>
      <c r="D419" s="58" t="s">
        <v>12</v>
      </c>
      <c r="E419" s="58" t="s">
        <v>12</v>
      </c>
      <c r="F419" s="57" t="s">
        <v>12</v>
      </c>
      <c r="G419" s="58" t="s">
        <v>12</v>
      </c>
      <c r="H419" s="58" t="s">
        <v>12</v>
      </c>
      <c r="I419" s="58"/>
      <c r="J419" s="58"/>
      <c r="K419" s="58"/>
      <c r="L419" s="124" t="s">
        <v>12</v>
      </c>
      <c r="M419" s="125" t="s">
        <v>12</v>
      </c>
      <c r="N419" s="50"/>
      <c r="O419" s="51">
        <f>O420+O462+O481+O502+O544</f>
        <v>741681.1000000001</v>
      </c>
      <c r="P419" s="51">
        <f>P420+P462+P481+P502+P544</f>
        <v>610174.1000000001</v>
      </c>
    </row>
    <row r="420" spans="1:16" ht="84" hidden="1">
      <c r="A420" s="25" t="s">
        <v>256</v>
      </c>
      <c r="B420" s="68">
        <v>5001</v>
      </c>
      <c r="C420" s="57" t="s">
        <v>12</v>
      </c>
      <c r="D420" s="58" t="s">
        <v>12</v>
      </c>
      <c r="E420" s="58" t="s">
        <v>12</v>
      </c>
      <c r="F420" s="57" t="s">
        <v>12</v>
      </c>
      <c r="G420" s="58" t="s">
        <v>12</v>
      </c>
      <c r="H420" s="58" t="s">
        <v>12</v>
      </c>
      <c r="I420" s="58"/>
      <c r="J420" s="58"/>
      <c r="K420" s="58"/>
      <c r="L420" s="124" t="s">
        <v>12</v>
      </c>
      <c r="M420" s="125" t="s">
        <v>12</v>
      </c>
      <c r="N420" s="50"/>
      <c r="O420" s="51">
        <f>SUM(O421:O461)</f>
        <v>607962.4000000001</v>
      </c>
      <c r="P420" s="51">
        <f>SUM(P421:P461)</f>
        <v>527207.0000000001</v>
      </c>
    </row>
    <row r="421" spans="1:16" ht="72" hidden="1">
      <c r="A421" s="37" t="s">
        <v>257</v>
      </c>
      <c r="B421" s="67">
        <v>5002</v>
      </c>
      <c r="C421" s="9" t="s">
        <v>594</v>
      </c>
      <c r="D421" s="72" t="s">
        <v>593</v>
      </c>
      <c r="E421" s="72" t="s">
        <v>658</v>
      </c>
      <c r="F421" s="56"/>
      <c r="G421" s="56"/>
      <c r="H421" s="56"/>
      <c r="I421" s="56"/>
      <c r="J421" s="56"/>
      <c r="K421" s="56"/>
      <c r="L421" s="122" t="s">
        <v>701</v>
      </c>
      <c r="M421" s="123" t="s">
        <v>702</v>
      </c>
      <c r="N421" s="27"/>
      <c r="O421" s="49">
        <f>117966.1</f>
        <v>117966.1</v>
      </c>
      <c r="P421" s="49">
        <f>97279.8</f>
        <v>97279.8</v>
      </c>
    </row>
    <row r="422" spans="1:16" ht="24" hidden="1">
      <c r="A422" s="37" t="s">
        <v>258</v>
      </c>
      <c r="B422" s="67">
        <v>5003</v>
      </c>
      <c r="C422" s="9"/>
      <c r="D422" s="72"/>
      <c r="E422" s="72"/>
      <c r="F422" s="56"/>
      <c r="G422" s="56"/>
      <c r="H422" s="56"/>
      <c r="I422" s="56"/>
      <c r="J422" s="56"/>
      <c r="K422" s="56"/>
      <c r="L422" s="120"/>
      <c r="M422" s="121"/>
      <c r="N422" s="48"/>
      <c r="O422" s="49"/>
      <c r="P422" s="49"/>
    </row>
    <row r="423" spans="1:16" ht="144" hidden="1">
      <c r="A423" s="37" t="s">
        <v>259</v>
      </c>
      <c r="B423" s="67">
        <v>5004</v>
      </c>
      <c r="C423" s="9" t="s">
        <v>595</v>
      </c>
      <c r="D423" s="10" t="s">
        <v>596</v>
      </c>
      <c r="E423" s="11" t="s">
        <v>598</v>
      </c>
      <c r="F423" s="9" t="s">
        <v>599</v>
      </c>
      <c r="G423" s="10" t="s">
        <v>600</v>
      </c>
      <c r="H423" s="10" t="s">
        <v>668</v>
      </c>
      <c r="I423" s="10"/>
      <c r="J423" s="10"/>
      <c r="K423" s="10"/>
      <c r="L423" s="122" t="s">
        <v>703</v>
      </c>
      <c r="M423" s="123" t="s">
        <v>704</v>
      </c>
      <c r="N423" s="27"/>
      <c r="O423" s="49">
        <f>10688.4</f>
        <v>10688.4</v>
      </c>
      <c r="P423" s="49">
        <f>4426.6</f>
        <v>4426.6</v>
      </c>
    </row>
    <row r="424" spans="1:16" ht="84" hidden="1">
      <c r="A424" s="37" t="s">
        <v>260</v>
      </c>
      <c r="B424" s="67">
        <v>5005</v>
      </c>
      <c r="C424" s="9" t="s">
        <v>601</v>
      </c>
      <c r="D424" s="72" t="s">
        <v>602</v>
      </c>
      <c r="E424" s="72" t="s">
        <v>657</v>
      </c>
      <c r="F424" s="9" t="s">
        <v>603</v>
      </c>
      <c r="G424" s="9" t="s">
        <v>605</v>
      </c>
      <c r="H424" s="72" t="s">
        <v>669</v>
      </c>
      <c r="I424" s="72"/>
      <c r="J424" s="72"/>
      <c r="K424" s="72"/>
      <c r="L424" s="122" t="s">
        <v>298</v>
      </c>
      <c r="M424" s="123" t="s">
        <v>297</v>
      </c>
      <c r="N424" s="27"/>
      <c r="O424" s="49">
        <f>28392.1</f>
        <v>28392.1</v>
      </c>
      <c r="P424" s="49">
        <f>29421</f>
        <v>29421</v>
      </c>
    </row>
    <row r="425" spans="1:16" ht="48" hidden="1">
      <c r="A425" s="37" t="s">
        <v>261</v>
      </c>
      <c r="B425" s="67">
        <v>5006</v>
      </c>
      <c r="C425" s="56"/>
      <c r="D425" s="56"/>
      <c r="E425" s="56"/>
      <c r="F425" s="56"/>
      <c r="G425" s="56"/>
      <c r="H425" s="56"/>
      <c r="I425" s="56"/>
      <c r="J425" s="56"/>
      <c r="K425" s="56"/>
      <c r="L425" s="122"/>
      <c r="M425" s="123"/>
      <c r="N425" s="27"/>
      <c r="O425" s="49"/>
      <c r="P425" s="49"/>
    </row>
    <row r="426" spans="1:16" ht="120" hidden="1">
      <c r="A426" s="37" t="s">
        <v>262</v>
      </c>
      <c r="B426" s="67">
        <v>5007</v>
      </c>
      <c r="C426" s="9" t="s">
        <v>606</v>
      </c>
      <c r="D426" s="72" t="s">
        <v>607</v>
      </c>
      <c r="E426" s="72" t="s">
        <v>656</v>
      </c>
      <c r="F426" s="72" t="s">
        <v>608</v>
      </c>
      <c r="G426" s="72" t="s">
        <v>609</v>
      </c>
      <c r="H426" s="72" t="s">
        <v>670</v>
      </c>
      <c r="I426" s="72"/>
      <c r="J426" s="72"/>
      <c r="K426" s="72"/>
      <c r="L426" s="122" t="s">
        <v>299</v>
      </c>
      <c r="M426" s="123" t="s">
        <v>303</v>
      </c>
      <c r="N426" s="27"/>
      <c r="O426" s="49">
        <f>117393.4</f>
        <v>117393.4</v>
      </c>
      <c r="P426" s="49">
        <f>114932.2</f>
        <v>114932.2</v>
      </c>
    </row>
    <row r="427" spans="1:16" ht="96" hidden="1">
      <c r="A427" s="37" t="s">
        <v>263</v>
      </c>
      <c r="B427" s="67">
        <v>5008</v>
      </c>
      <c r="C427" s="9" t="s">
        <v>611</v>
      </c>
      <c r="D427" s="9" t="s">
        <v>610</v>
      </c>
      <c r="E427" s="9" t="s">
        <v>655</v>
      </c>
      <c r="F427" s="13" t="s">
        <v>615</v>
      </c>
      <c r="G427" s="13" t="s">
        <v>613</v>
      </c>
      <c r="H427" s="13" t="s">
        <v>614</v>
      </c>
      <c r="I427" s="13"/>
      <c r="J427" s="13"/>
      <c r="K427" s="13"/>
      <c r="L427" s="122" t="s">
        <v>705</v>
      </c>
      <c r="M427" s="123" t="s">
        <v>303</v>
      </c>
      <c r="N427" s="27"/>
      <c r="O427" s="49">
        <f>52552.7</f>
        <v>52552.7</v>
      </c>
      <c r="P427" s="49">
        <f>38478.3</f>
        <v>38478.3</v>
      </c>
    </row>
    <row r="428" spans="1:16" ht="24" hidden="1">
      <c r="A428" s="37" t="s">
        <v>264</v>
      </c>
      <c r="B428" s="67">
        <v>5009</v>
      </c>
      <c r="C428" s="56"/>
      <c r="D428" s="56"/>
      <c r="E428" s="56"/>
      <c r="F428" s="56"/>
      <c r="G428" s="56"/>
      <c r="H428" s="56"/>
      <c r="I428" s="56"/>
      <c r="J428" s="56"/>
      <c r="K428" s="56"/>
      <c r="L428" s="122"/>
      <c r="M428" s="123"/>
      <c r="N428" s="27"/>
      <c r="O428" s="49"/>
      <c r="P428" s="49"/>
    </row>
    <row r="429" spans="1:16" ht="216" hidden="1">
      <c r="A429" s="37" t="s">
        <v>265</v>
      </c>
      <c r="B429" s="67">
        <v>5010</v>
      </c>
      <c r="C429" s="9" t="s">
        <v>616</v>
      </c>
      <c r="D429" s="9" t="s">
        <v>617</v>
      </c>
      <c r="E429" s="9" t="s">
        <v>659</v>
      </c>
      <c r="F429" s="9" t="s">
        <v>618</v>
      </c>
      <c r="G429" s="9" t="s">
        <v>605</v>
      </c>
      <c r="H429" s="9" t="s">
        <v>671</v>
      </c>
      <c r="I429" s="9"/>
      <c r="J429" s="9"/>
      <c r="K429" s="9"/>
      <c r="L429" s="122" t="s">
        <v>333</v>
      </c>
      <c r="M429" s="123" t="s">
        <v>706</v>
      </c>
      <c r="N429" s="27"/>
      <c r="O429" s="49">
        <f>46659.7</f>
        <v>46659.7</v>
      </c>
      <c r="P429" s="49">
        <f>53208.9</f>
        <v>53208.9</v>
      </c>
    </row>
    <row r="430" spans="1:16" ht="168" hidden="1">
      <c r="A430" s="37" t="s">
        <v>266</v>
      </c>
      <c r="B430" s="67">
        <v>5011</v>
      </c>
      <c r="C430" s="56"/>
      <c r="D430" s="56"/>
      <c r="E430" s="56"/>
      <c r="F430" s="56"/>
      <c r="G430" s="56"/>
      <c r="H430" s="56"/>
      <c r="I430" s="56"/>
      <c r="J430" s="56"/>
      <c r="K430" s="56"/>
      <c r="L430" s="122"/>
      <c r="M430" s="123"/>
      <c r="N430" s="27"/>
      <c r="O430" s="49"/>
      <c r="P430" s="49"/>
    </row>
    <row r="431" spans="1:16" ht="60" hidden="1">
      <c r="A431" s="37" t="s">
        <v>267</v>
      </c>
      <c r="B431" s="67">
        <v>5012</v>
      </c>
      <c r="C431" s="56"/>
      <c r="D431" s="56"/>
      <c r="E431" s="56"/>
      <c r="F431" s="56"/>
      <c r="G431" s="56"/>
      <c r="H431" s="56"/>
      <c r="I431" s="56"/>
      <c r="J431" s="56"/>
      <c r="K431" s="56"/>
      <c r="L431" s="122"/>
      <c r="M431" s="123"/>
      <c r="N431" s="27"/>
      <c r="O431" s="49"/>
      <c r="P431" s="49"/>
    </row>
    <row r="432" spans="1:16" ht="108" hidden="1">
      <c r="A432" s="37" t="s">
        <v>268</v>
      </c>
      <c r="B432" s="67">
        <v>5013</v>
      </c>
      <c r="C432" s="9" t="s">
        <v>619</v>
      </c>
      <c r="D432" s="9" t="s">
        <v>620</v>
      </c>
      <c r="E432" s="9" t="s">
        <v>660</v>
      </c>
      <c r="F432" s="56"/>
      <c r="G432" s="56"/>
      <c r="H432" s="56"/>
      <c r="I432" s="56"/>
      <c r="J432" s="56"/>
      <c r="K432" s="56"/>
      <c r="L432" s="122" t="s">
        <v>301</v>
      </c>
      <c r="M432" s="123" t="s">
        <v>301</v>
      </c>
      <c r="N432" s="27"/>
      <c r="O432" s="49">
        <f>3208</f>
        <v>3208</v>
      </c>
      <c r="P432" s="49">
        <f>2832</f>
        <v>2832</v>
      </c>
    </row>
    <row r="433" spans="1:16" ht="60" hidden="1">
      <c r="A433" s="37" t="s">
        <v>269</v>
      </c>
      <c r="B433" s="67">
        <v>5014</v>
      </c>
      <c r="C433" s="9" t="s">
        <v>616</v>
      </c>
      <c r="D433" s="9" t="s">
        <v>622</v>
      </c>
      <c r="E433" s="9" t="s">
        <v>661</v>
      </c>
      <c r="F433" s="9" t="s">
        <v>621</v>
      </c>
      <c r="G433" s="9" t="s">
        <v>605</v>
      </c>
      <c r="H433" s="9" t="s">
        <v>623</v>
      </c>
      <c r="I433" s="9"/>
      <c r="J433" s="9"/>
      <c r="K433" s="9"/>
      <c r="L433" s="122" t="s">
        <v>298</v>
      </c>
      <c r="M433" s="123" t="s">
        <v>707</v>
      </c>
      <c r="N433" s="27"/>
      <c r="O433" s="49">
        <f>79.2</f>
        <v>79.2</v>
      </c>
      <c r="P433" s="49">
        <v>0</v>
      </c>
    </row>
    <row r="434" spans="1:16" ht="72" hidden="1">
      <c r="A434" s="37" t="s">
        <v>81</v>
      </c>
      <c r="B434" s="67">
        <v>5015</v>
      </c>
      <c r="C434" s="9" t="s">
        <v>616</v>
      </c>
      <c r="D434" s="9" t="s">
        <v>624</v>
      </c>
      <c r="E434" s="9" t="s">
        <v>661</v>
      </c>
      <c r="F434" s="56"/>
      <c r="G434" s="56"/>
      <c r="H434" s="56"/>
      <c r="I434" s="56"/>
      <c r="J434" s="56"/>
      <c r="K434" s="56"/>
      <c r="L434" s="122" t="s">
        <v>304</v>
      </c>
      <c r="M434" s="123" t="s">
        <v>302</v>
      </c>
      <c r="N434" s="27"/>
      <c r="O434" s="49">
        <f>57954.9</f>
        <v>57954.9</v>
      </c>
      <c r="P434" s="49">
        <f>70358.5</f>
        <v>70358.5</v>
      </c>
    </row>
    <row r="435" spans="1:16" ht="216" hidden="1">
      <c r="A435" s="37" t="s">
        <v>270</v>
      </c>
      <c r="B435" s="67">
        <v>5016</v>
      </c>
      <c r="C435" s="9" t="s">
        <v>625</v>
      </c>
      <c r="D435" s="9" t="s">
        <v>626</v>
      </c>
      <c r="E435" s="9" t="s">
        <v>662</v>
      </c>
      <c r="F435" s="9" t="s">
        <v>630</v>
      </c>
      <c r="G435" s="9" t="s">
        <v>629</v>
      </c>
      <c r="H435" s="9" t="s">
        <v>627</v>
      </c>
      <c r="I435" s="9"/>
      <c r="J435" s="9"/>
      <c r="K435" s="9"/>
      <c r="L435" s="122" t="s">
        <v>300</v>
      </c>
      <c r="M435" s="123" t="s">
        <v>311</v>
      </c>
      <c r="N435" s="27"/>
      <c r="O435" s="49">
        <f>55344.4</f>
        <v>55344.4</v>
      </c>
      <c r="P435" s="49">
        <f>65181.8</f>
        <v>65181.8</v>
      </c>
    </row>
    <row r="436" spans="1:16" ht="132" hidden="1">
      <c r="A436" s="37" t="s">
        <v>271</v>
      </c>
      <c r="B436" s="67">
        <v>5017</v>
      </c>
      <c r="C436" s="9" t="s">
        <v>631</v>
      </c>
      <c r="D436" s="9" t="s">
        <v>632</v>
      </c>
      <c r="E436" s="9" t="s">
        <v>665</v>
      </c>
      <c r="F436" s="56"/>
      <c r="G436" s="56"/>
      <c r="H436" s="56"/>
      <c r="I436" s="56"/>
      <c r="J436" s="56"/>
      <c r="K436" s="56"/>
      <c r="L436" s="122" t="s">
        <v>304</v>
      </c>
      <c r="M436" s="123" t="s">
        <v>303</v>
      </c>
      <c r="N436" s="27"/>
      <c r="O436" s="49">
        <f>69089.5</f>
        <v>69089.5</v>
      </c>
      <c r="P436" s="49">
        <f>13877.9</f>
        <v>13877.9</v>
      </c>
    </row>
    <row r="437" spans="1:16" ht="60" hidden="1">
      <c r="A437" s="37" t="s">
        <v>84</v>
      </c>
      <c r="B437" s="67">
        <v>5018</v>
      </c>
      <c r="C437" s="9" t="s">
        <v>635</v>
      </c>
      <c r="D437" s="9" t="s">
        <v>636</v>
      </c>
      <c r="E437" s="9" t="s">
        <v>663</v>
      </c>
      <c r="F437" s="9" t="s">
        <v>633</v>
      </c>
      <c r="G437" s="9" t="s">
        <v>634</v>
      </c>
      <c r="H437" s="9" t="s">
        <v>604</v>
      </c>
      <c r="I437" s="9"/>
      <c r="J437" s="9"/>
      <c r="K437" s="9"/>
      <c r="L437" s="122" t="s">
        <v>300</v>
      </c>
      <c r="M437" s="123" t="s">
        <v>299</v>
      </c>
      <c r="N437" s="27"/>
      <c r="O437" s="49">
        <f>1390.8</f>
        <v>1390.8</v>
      </c>
      <c r="P437" s="49">
        <f>1485.7</f>
        <v>1485.7</v>
      </c>
    </row>
    <row r="438" spans="1:16" ht="60" hidden="1">
      <c r="A438" s="37" t="s">
        <v>85</v>
      </c>
      <c r="B438" s="67">
        <v>5019</v>
      </c>
      <c r="C438" s="56"/>
      <c r="D438" s="56"/>
      <c r="E438" s="56"/>
      <c r="F438" s="56"/>
      <c r="G438" s="56"/>
      <c r="H438" s="56"/>
      <c r="I438" s="56"/>
      <c r="J438" s="56"/>
      <c r="K438" s="56"/>
      <c r="L438" s="122"/>
      <c r="M438" s="123"/>
      <c r="N438" s="27"/>
      <c r="O438" s="49"/>
      <c r="P438" s="49"/>
    </row>
    <row r="439" spans="1:16" ht="120" hidden="1">
      <c r="A439" s="37" t="s">
        <v>272</v>
      </c>
      <c r="B439" s="67">
        <v>5020</v>
      </c>
      <c r="C439" s="56"/>
      <c r="D439" s="56"/>
      <c r="E439" s="56"/>
      <c r="F439" s="56"/>
      <c r="G439" s="56"/>
      <c r="H439" s="56"/>
      <c r="I439" s="56"/>
      <c r="J439" s="56"/>
      <c r="K439" s="56"/>
      <c r="L439" s="122"/>
      <c r="M439" s="123"/>
      <c r="N439" s="27"/>
      <c r="O439" s="49"/>
      <c r="P439" s="49"/>
    </row>
    <row r="440" spans="1:16" ht="156" hidden="1">
      <c r="A440" s="37" t="s">
        <v>87</v>
      </c>
      <c r="B440" s="67">
        <v>5021</v>
      </c>
      <c r="C440" s="9" t="s">
        <v>698</v>
      </c>
      <c r="D440" s="9" t="s">
        <v>699</v>
      </c>
      <c r="E440" s="9" t="s">
        <v>700</v>
      </c>
      <c r="F440" s="9" t="s">
        <v>637</v>
      </c>
      <c r="G440" s="9" t="s">
        <v>638</v>
      </c>
      <c r="H440" s="9" t="s">
        <v>672</v>
      </c>
      <c r="I440" s="9"/>
      <c r="J440" s="9"/>
      <c r="K440" s="9"/>
      <c r="L440" s="122" t="s">
        <v>708</v>
      </c>
      <c r="M440" s="123" t="s">
        <v>331</v>
      </c>
      <c r="N440" s="27"/>
      <c r="O440" s="49">
        <f>880.1</f>
        <v>880.1</v>
      </c>
      <c r="P440" s="49">
        <v>0</v>
      </c>
    </row>
    <row r="441" spans="1:16" ht="156" hidden="1">
      <c r="A441" s="37" t="s">
        <v>88</v>
      </c>
      <c r="B441" s="70">
        <v>5022</v>
      </c>
      <c r="C441" s="9" t="s">
        <v>639</v>
      </c>
      <c r="D441" s="9" t="s">
        <v>640</v>
      </c>
      <c r="E441" s="9" t="s">
        <v>664</v>
      </c>
      <c r="F441" s="72" t="s">
        <v>641</v>
      </c>
      <c r="G441" s="72" t="s">
        <v>642</v>
      </c>
      <c r="H441" s="72" t="s">
        <v>673</v>
      </c>
      <c r="I441" s="72"/>
      <c r="J441" s="72"/>
      <c r="K441" s="72"/>
      <c r="L441" s="122" t="s">
        <v>299</v>
      </c>
      <c r="M441" s="123" t="s">
        <v>303</v>
      </c>
      <c r="N441" s="27"/>
      <c r="O441" s="49">
        <f>31110.5</f>
        <v>31110.5</v>
      </c>
      <c r="P441" s="49">
        <f>33424.3</f>
        <v>33424.3</v>
      </c>
    </row>
    <row r="442" spans="1:16" ht="96" hidden="1">
      <c r="A442" s="37" t="s">
        <v>89</v>
      </c>
      <c r="B442" s="67">
        <v>5023</v>
      </c>
      <c r="C442" s="56"/>
      <c r="D442" s="56"/>
      <c r="E442" s="56"/>
      <c r="F442" s="56"/>
      <c r="G442" s="56"/>
      <c r="H442" s="56"/>
      <c r="I442" s="56"/>
      <c r="J442" s="56"/>
      <c r="K442" s="56"/>
      <c r="L442" s="122"/>
      <c r="M442" s="123"/>
      <c r="N442" s="27"/>
      <c r="O442" s="49"/>
      <c r="P442" s="49"/>
    </row>
    <row r="443" spans="1:16" ht="72" hidden="1">
      <c r="A443" s="37" t="s">
        <v>273</v>
      </c>
      <c r="B443" s="67">
        <v>5024</v>
      </c>
      <c r="C443" s="56"/>
      <c r="D443" s="56"/>
      <c r="E443" s="56"/>
      <c r="F443" s="56"/>
      <c r="G443" s="56"/>
      <c r="H443" s="56"/>
      <c r="I443" s="56"/>
      <c r="J443" s="56"/>
      <c r="K443" s="56"/>
      <c r="L443" s="122"/>
      <c r="M443" s="123"/>
      <c r="N443" s="27"/>
      <c r="O443" s="49"/>
      <c r="P443" s="49"/>
    </row>
    <row r="444" spans="1:16" ht="72" hidden="1">
      <c r="A444" s="37" t="s">
        <v>274</v>
      </c>
      <c r="B444" s="67">
        <v>5025</v>
      </c>
      <c r="C444" s="56"/>
      <c r="D444" s="56"/>
      <c r="E444" s="56"/>
      <c r="F444" s="56"/>
      <c r="G444" s="56"/>
      <c r="H444" s="56"/>
      <c r="I444" s="56"/>
      <c r="J444" s="56"/>
      <c r="K444" s="56"/>
      <c r="L444" s="122"/>
      <c r="M444" s="123"/>
      <c r="N444" s="27"/>
      <c r="O444" s="49"/>
      <c r="P444" s="49"/>
    </row>
    <row r="445" spans="1:16" ht="156" hidden="1">
      <c r="A445" s="37" t="s">
        <v>236</v>
      </c>
      <c r="B445" s="67">
        <v>5026</v>
      </c>
      <c r="C445" s="9" t="s">
        <v>643</v>
      </c>
      <c r="D445" s="9" t="s">
        <v>644</v>
      </c>
      <c r="E445" s="9" t="s">
        <v>674</v>
      </c>
      <c r="F445" s="9" t="s">
        <v>618</v>
      </c>
      <c r="G445" s="9" t="s">
        <v>645</v>
      </c>
      <c r="H445" s="9" t="s">
        <v>671</v>
      </c>
      <c r="I445" s="9"/>
      <c r="J445" s="9"/>
      <c r="K445" s="9"/>
      <c r="L445" s="122" t="s">
        <v>304</v>
      </c>
      <c r="M445" s="123" t="s">
        <v>298</v>
      </c>
      <c r="N445" s="27"/>
      <c r="O445" s="49">
        <f>13692.9</f>
        <v>13692.9</v>
      </c>
      <c r="P445" s="49">
        <f>980</f>
        <v>980</v>
      </c>
    </row>
    <row r="446" spans="1:16" ht="336" hidden="1">
      <c r="A446" s="37" t="s">
        <v>275</v>
      </c>
      <c r="B446" s="67">
        <v>5027</v>
      </c>
      <c r="C446" s="9" t="s">
        <v>646</v>
      </c>
      <c r="D446" s="9" t="s">
        <v>647</v>
      </c>
      <c r="E446" s="9" t="s">
        <v>666</v>
      </c>
      <c r="F446" s="56"/>
      <c r="G446" s="56"/>
      <c r="H446" s="56"/>
      <c r="I446" s="56"/>
      <c r="J446" s="56"/>
      <c r="K446" s="56"/>
      <c r="L446" s="122" t="s">
        <v>300</v>
      </c>
      <c r="M446" s="123" t="s">
        <v>312</v>
      </c>
      <c r="N446" s="27"/>
      <c r="O446" s="49">
        <f>11014.6-10189.1</f>
        <v>825.5</v>
      </c>
      <c r="P446" s="49">
        <f>4458.3-4458.3</f>
        <v>0</v>
      </c>
    </row>
    <row r="447" spans="1:16" ht="108" hidden="1">
      <c r="A447" s="37" t="s">
        <v>205</v>
      </c>
      <c r="B447" s="67">
        <v>5028</v>
      </c>
      <c r="C447" s="9" t="s">
        <v>648</v>
      </c>
      <c r="D447" s="9" t="s">
        <v>649</v>
      </c>
      <c r="E447" s="9" t="s">
        <v>675</v>
      </c>
      <c r="F447" s="56"/>
      <c r="G447" s="56"/>
      <c r="H447" s="56"/>
      <c r="I447" s="56"/>
      <c r="J447" s="56"/>
      <c r="K447" s="56"/>
      <c r="L447" s="122" t="s">
        <v>304</v>
      </c>
      <c r="M447" s="123" t="s">
        <v>298</v>
      </c>
      <c r="N447" s="27"/>
      <c r="O447" s="49">
        <f>680.2</f>
        <v>680.2</v>
      </c>
      <c r="P447" s="49">
        <v>0</v>
      </c>
    </row>
    <row r="448" spans="1:16" ht="72" hidden="1">
      <c r="A448" s="37" t="s">
        <v>276</v>
      </c>
      <c r="B448" s="70">
        <v>5029</v>
      </c>
      <c r="C448" s="12" t="s">
        <v>635</v>
      </c>
      <c r="D448" s="9" t="s">
        <v>650</v>
      </c>
      <c r="E448" s="9" t="s">
        <v>661</v>
      </c>
      <c r="F448" s="56"/>
      <c r="G448" s="56"/>
      <c r="H448" s="56"/>
      <c r="I448" s="56"/>
      <c r="J448" s="56"/>
      <c r="K448" s="56"/>
      <c r="L448" s="122" t="s">
        <v>298</v>
      </c>
      <c r="M448" s="123" t="s">
        <v>311</v>
      </c>
      <c r="N448" s="27"/>
      <c r="O448" s="49"/>
      <c r="P448" s="49">
        <f>1320</f>
        <v>1320</v>
      </c>
    </row>
    <row r="449" spans="1:16" ht="60" hidden="1">
      <c r="A449" s="37" t="s">
        <v>96</v>
      </c>
      <c r="B449" s="67">
        <v>5030</v>
      </c>
      <c r="C449" s="56"/>
      <c r="D449" s="56"/>
      <c r="E449" s="56"/>
      <c r="F449" s="56"/>
      <c r="G449" s="56"/>
      <c r="H449" s="56"/>
      <c r="I449" s="56"/>
      <c r="J449" s="56"/>
      <c r="K449" s="56"/>
      <c r="L449" s="120"/>
      <c r="M449" s="121"/>
      <c r="N449" s="48"/>
      <c r="O449" s="49"/>
      <c r="P449" s="49"/>
    </row>
    <row r="450" spans="1:16" ht="60" hidden="1">
      <c r="A450" s="37" t="s">
        <v>70</v>
      </c>
      <c r="B450" s="67">
        <v>5031</v>
      </c>
      <c r="C450" s="12" t="s">
        <v>635</v>
      </c>
      <c r="D450" s="9" t="s">
        <v>652</v>
      </c>
      <c r="E450" s="9" t="s">
        <v>661</v>
      </c>
      <c r="F450" s="12" t="s">
        <v>651</v>
      </c>
      <c r="G450" s="9" t="s">
        <v>653</v>
      </c>
      <c r="H450" s="9" t="s">
        <v>667</v>
      </c>
      <c r="I450" s="9"/>
      <c r="J450" s="9"/>
      <c r="K450" s="9"/>
      <c r="L450" s="122" t="s">
        <v>298</v>
      </c>
      <c r="M450" s="123" t="s">
        <v>311</v>
      </c>
      <c r="N450" s="27"/>
      <c r="O450" s="49">
        <f>9.6</f>
        <v>9.6</v>
      </c>
      <c r="P450" s="49">
        <v>0</v>
      </c>
    </row>
    <row r="451" spans="1:16" ht="84" hidden="1">
      <c r="A451" s="37" t="s">
        <v>277</v>
      </c>
      <c r="B451" s="67">
        <v>5032</v>
      </c>
      <c r="C451" s="56"/>
      <c r="D451" s="56"/>
      <c r="E451" s="56"/>
      <c r="F451" s="56"/>
      <c r="G451" s="56"/>
      <c r="H451" s="56"/>
      <c r="I451" s="56"/>
      <c r="J451" s="56"/>
      <c r="K451" s="56"/>
      <c r="L451" s="120"/>
      <c r="M451" s="121"/>
      <c r="N451" s="48"/>
      <c r="O451" s="49"/>
      <c r="P451" s="49"/>
    </row>
    <row r="452" spans="1:16" ht="60" hidden="1">
      <c r="A452" s="37" t="s">
        <v>238</v>
      </c>
      <c r="B452" s="67">
        <v>5033</v>
      </c>
      <c r="C452" s="56"/>
      <c r="D452" s="56"/>
      <c r="E452" s="56"/>
      <c r="F452" s="56"/>
      <c r="G452" s="56"/>
      <c r="H452" s="56"/>
      <c r="I452" s="56"/>
      <c r="J452" s="56"/>
      <c r="K452" s="56"/>
      <c r="L452" s="120"/>
      <c r="M452" s="121"/>
      <c r="N452" s="48"/>
      <c r="O452" s="49"/>
      <c r="P452" s="49"/>
    </row>
    <row r="453" spans="1:16" ht="24" hidden="1">
      <c r="A453" s="37" t="s">
        <v>75</v>
      </c>
      <c r="B453" s="67">
        <v>5034</v>
      </c>
      <c r="C453" s="56"/>
      <c r="D453" s="56"/>
      <c r="E453" s="56"/>
      <c r="F453" s="56"/>
      <c r="G453" s="56"/>
      <c r="H453" s="56"/>
      <c r="I453" s="56"/>
      <c r="J453" s="56"/>
      <c r="K453" s="56"/>
      <c r="L453" s="120"/>
      <c r="M453" s="121"/>
      <c r="N453" s="48"/>
      <c r="O453" s="49"/>
      <c r="P453" s="49"/>
    </row>
    <row r="454" spans="1:16" ht="60" hidden="1">
      <c r="A454" s="37" t="s">
        <v>278</v>
      </c>
      <c r="B454" s="67">
        <v>5035</v>
      </c>
      <c r="C454" s="12" t="s">
        <v>635</v>
      </c>
      <c r="D454" s="9" t="s">
        <v>654</v>
      </c>
      <c r="E454" s="9" t="s">
        <v>659</v>
      </c>
      <c r="F454" s="56"/>
      <c r="G454" s="56"/>
      <c r="H454" s="56"/>
      <c r="I454" s="56"/>
      <c r="J454" s="56"/>
      <c r="K454" s="56"/>
      <c r="L454" s="122" t="s">
        <v>303</v>
      </c>
      <c r="M454" s="123" t="s">
        <v>305</v>
      </c>
      <c r="N454" s="27"/>
      <c r="O454" s="49">
        <f>44.4</f>
        <v>44.4</v>
      </c>
      <c r="P454" s="49">
        <v>0</v>
      </c>
    </row>
    <row r="455" spans="1:16" ht="72" hidden="1">
      <c r="A455" s="37" t="s">
        <v>54</v>
      </c>
      <c r="B455" s="67">
        <v>5036</v>
      </c>
      <c r="C455" s="56"/>
      <c r="D455" s="56"/>
      <c r="E455" s="56"/>
      <c r="F455" s="56"/>
      <c r="G455" s="56"/>
      <c r="H455" s="56"/>
      <c r="I455" s="56"/>
      <c r="J455" s="56"/>
      <c r="K455" s="56"/>
      <c r="L455" s="120"/>
      <c r="M455" s="121"/>
      <c r="N455" s="48"/>
      <c r="O455" s="49"/>
      <c r="P455" s="49"/>
    </row>
    <row r="456" spans="1:16" ht="72" hidden="1">
      <c r="A456" s="37" t="s">
        <v>279</v>
      </c>
      <c r="B456" s="67">
        <v>5037</v>
      </c>
      <c r="C456" s="56"/>
      <c r="D456" s="56"/>
      <c r="E456" s="56"/>
      <c r="F456" s="56"/>
      <c r="G456" s="56"/>
      <c r="H456" s="56"/>
      <c r="I456" s="56"/>
      <c r="J456" s="56"/>
      <c r="K456" s="56"/>
      <c r="L456" s="120"/>
      <c r="M456" s="121"/>
      <c r="N456" s="48"/>
      <c r="O456" s="49"/>
      <c r="P456" s="49"/>
    </row>
    <row r="457" spans="1:16" ht="84" hidden="1">
      <c r="A457" s="37" t="s">
        <v>280</v>
      </c>
      <c r="B457" s="67">
        <v>5038</v>
      </c>
      <c r="C457" s="56"/>
      <c r="D457" s="56"/>
      <c r="E457" s="56"/>
      <c r="F457" s="56"/>
      <c r="G457" s="56"/>
      <c r="H457" s="56"/>
      <c r="I457" s="56"/>
      <c r="J457" s="56"/>
      <c r="K457" s="56"/>
      <c r="L457" s="120"/>
      <c r="M457" s="121"/>
      <c r="N457" s="48"/>
      <c r="O457" s="49"/>
      <c r="P457" s="49"/>
    </row>
    <row r="458" spans="1:16" ht="24" hidden="1">
      <c r="A458" s="37" t="s">
        <v>105</v>
      </c>
      <c r="B458" s="67">
        <v>5039</v>
      </c>
      <c r="C458" s="56"/>
      <c r="D458" s="56"/>
      <c r="E458" s="56"/>
      <c r="F458" s="56"/>
      <c r="G458" s="56"/>
      <c r="H458" s="56"/>
      <c r="I458" s="56"/>
      <c r="J458" s="56"/>
      <c r="K458" s="56"/>
      <c r="L458" s="120"/>
      <c r="M458" s="121"/>
      <c r="N458" s="48"/>
      <c r="O458" s="49"/>
      <c r="P458" s="49"/>
    </row>
    <row r="459" spans="1:16" ht="48" hidden="1">
      <c r="A459" s="37" t="s">
        <v>240</v>
      </c>
      <c r="B459" s="67">
        <v>5040</v>
      </c>
      <c r="C459" s="56"/>
      <c r="D459" s="56"/>
      <c r="E459" s="56"/>
      <c r="F459" s="56"/>
      <c r="G459" s="56"/>
      <c r="H459" s="56"/>
      <c r="I459" s="56"/>
      <c r="J459" s="56"/>
      <c r="K459" s="56"/>
      <c r="L459" s="120"/>
      <c r="M459" s="121"/>
      <c r="N459" s="48"/>
      <c r="O459" s="49"/>
      <c r="P459" s="49"/>
    </row>
    <row r="460" spans="1:16" ht="12" hidden="1">
      <c r="A460" s="37" t="s">
        <v>13</v>
      </c>
      <c r="B460" s="67">
        <v>5041</v>
      </c>
      <c r="C460" s="56"/>
      <c r="D460" s="56"/>
      <c r="E460" s="56"/>
      <c r="F460" s="56"/>
      <c r="G460" s="56"/>
      <c r="H460" s="56"/>
      <c r="I460" s="56"/>
      <c r="J460" s="56"/>
      <c r="K460" s="56"/>
      <c r="L460" s="120"/>
      <c r="M460" s="121"/>
      <c r="N460" s="48"/>
      <c r="O460" s="49"/>
      <c r="P460" s="49"/>
    </row>
    <row r="461" spans="1:16" ht="12" hidden="1">
      <c r="A461" s="37" t="s">
        <v>13</v>
      </c>
      <c r="B461" s="69">
        <v>5042</v>
      </c>
      <c r="C461" s="56"/>
      <c r="D461" s="56"/>
      <c r="E461" s="56"/>
      <c r="F461" s="56"/>
      <c r="G461" s="56"/>
      <c r="H461" s="56"/>
      <c r="I461" s="56"/>
      <c r="J461" s="56"/>
      <c r="K461" s="56"/>
      <c r="L461" s="120"/>
      <c r="M461" s="121"/>
      <c r="N461" s="48"/>
      <c r="O461" s="49"/>
      <c r="P461" s="49"/>
    </row>
    <row r="462" spans="1:16" ht="108" hidden="1">
      <c r="A462" s="25" t="s">
        <v>281</v>
      </c>
      <c r="B462" s="68">
        <v>5100</v>
      </c>
      <c r="C462" s="57" t="s">
        <v>12</v>
      </c>
      <c r="D462" s="58" t="s">
        <v>12</v>
      </c>
      <c r="E462" s="58" t="s">
        <v>12</v>
      </c>
      <c r="F462" s="57" t="s">
        <v>12</v>
      </c>
      <c r="G462" s="58" t="s">
        <v>12</v>
      </c>
      <c r="H462" s="58" t="s">
        <v>12</v>
      </c>
      <c r="I462" s="58"/>
      <c r="J462" s="58"/>
      <c r="K462" s="58"/>
      <c r="L462" s="124" t="s">
        <v>12</v>
      </c>
      <c r="M462" s="125" t="s">
        <v>12</v>
      </c>
      <c r="N462" s="50"/>
      <c r="O462" s="51">
        <f>SUM(O463:O480)</f>
        <v>32099.5</v>
      </c>
      <c r="P462" s="51">
        <f>SUM(P463:P480)</f>
        <v>27130.399999999998</v>
      </c>
    </row>
    <row r="463" spans="1:16" ht="24" hidden="1">
      <c r="A463" s="37" t="s">
        <v>109</v>
      </c>
      <c r="B463" s="67">
        <v>5101</v>
      </c>
      <c r="C463" s="56"/>
      <c r="D463" s="56"/>
      <c r="E463" s="56"/>
      <c r="F463" s="56"/>
      <c r="G463" s="56"/>
      <c r="H463" s="56"/>
      <c r="I463" s="56"/>
      <c r="J463" s="56"/>
      <c r="K463" s="56"/>
      <c r="L463" s="120"/>
      <c r="M463" s="121"/>
      <c r="N463" s="48"/>
      <c r="O463" s="49"/>
      <c r="P463" s="49"/>
    </row>
    <row r="464" spans="1:16" ht="240" hidden="1">
      <c r="A464" s="37" t="s">
        <v>110</v>
      </c>
      <c r="B464" s="67">
        <v>5102</v>
      </c>
      <c r="C464" s="12" t="s">
        <v>676</v>
      </c>
      <c r="D464" s="9" t="s">
        <v>677</v>
      </c>
      <c r="E464" s="9" t="s">
        <v>678</v>
      </c>
      <c r="F464" s="9" t="s">
        <v>679</v>
      </c>
      <c r="G464" s="9" t="s">
        <v>681</v>
      </c>
      <c r="H464" s="9" t="s">
        <v>680</v>
      </c>
      <c r="I464" s="9"/>
      <c r="J464" s="9"/>
      <c r="K464" s="9"/>
      <c r="L464" s="122" t="s">
        <v>354</v>
      </c>
      <c r="M464" s="123" t="s">
        <v>709</v>
      </c>
      <c r="N464" s="27"/>
      <c r="O464" s="49">
        <f>20418.9</f>
        <v>20418.9</v>
      </c>
      <c r="P464" s="49">
        <f>21754.5</f>
        <v>21754.5</v>
      </c>
    </row>
    <row r="465" spans="1:16" ht="48" hidden="1">
      <c r="A465" s="37" t="s">
        <v>111</v>
      </c>
      <c r="B465" s="67">
        <v>5103</v>
      </c>
      <c r="C465" s="56"/>
      <c r="D465" s="56"/>
      <c r="E465" s="56"/>
      <c r="F465" s="56"/>
      <c r="G465" s="56"/>
      <c r="H465" s="56"/>
      <c r="I465" s="56"/>
      <c r="J465" s="56"/>
      <c r="K465" s="56"/>
      <c r="L465" s="120"/>
      <c r="M465" s="121"/>
      <c r="N465" s="48"/>
      <c r="O465" s="49"/>
      <c r="P465" s="49"/>
    </row>
    <row r="466" spans="1:16" ht="24" hidden="1">
      <c r="A466" s="37" t="s">
        <v>112</v>
      </c>
      <c r="B466" s="67">
        <v>5104</v>
      </c>
      <c r="C466" s="56"/>
      <c r="D466" s="56"/>
      <c r="E466" s="56"/>
      <c r="F466" s="56"/>
      <c r="G466" s="56"/>
      <c r="H466" s="56"/>
      <c r="I466" s="56"/>
      <c r="J466" s="56"/>
      <c r="K466" s="56"/>
      <c r="L466" s="120"/>
      <c r="M466" s="121"/>
      <c r="N466" s="48"/>
      <c r="O466" s="49"/>
      <c r="P466" s="49"/>
    </row>
    <row r="467" spans="1:16" ht="108" hidden="1">
      <c r="A467" s="37" t="s">
        <v>113</v>
      </c>
      <c r="B467" s="67">
        <v>5105</v>
      </c>
      <c r="C467" s="56"/>
      <c r="D467" s="56"/>
      <c r="E467" s="56"/>
      <c r="F467" s="56"/>
      <c r="G467" s="56"/>
      <c r="H467" s="56"/>
      <c r="I467" s="56"/>
      <c r="J467" s="56"/>
      <c r="K467" s="56"/>
      <c r="L467" s="120"/>
      <c r="M467" s="121"/>
      <c r="N467" s="48"/>
      <c r="O467" s="49"/>
      <c r="P467" s="49"/>
    </row>
    <row r="468" spans="1:16" ht="72" hidden="1">
      <c r="A468" s="37" t="s">
        <v>114</v>
      </c>
      <c r="B468" s="67">
        <v>5106</v>
      </c>
      <c r="C468" s="56"/>
      <c r="D468" s="56"/>
      <c r="E468" s="56"/>
      <c r="F468" s="56"/>
      <c r="G468" s="56"/>
      <c r="H468" s="56"/>
      <c r="I468" s="56"/>
      <c r="J468" s="56"/>
      <c r="K468" s="56"/>
      <c r="L468" s="120"/>
      <c r="M468" s="121"/>
      <c r="N468" s="48"/>
      <c r="O468" s="49"/>
      <c r="P468" s="49"/>
    </row>
    <row r="469" spans="1:16" ht="84" hidden="1">
      <c r="A469" s="37" t="s">
        <v>115</v>
      </c>
      <c r="B469" s="67">
        <v>5107</v>
      </c>
      <c r="C469" s="56"/>
      <c r="D469" s="56"/>
      <c r="E469" s="56"/>
      <c r="F469" s="56"/>
      <c r="G469" s="56"/>
      <c r="H469" s="56"/>
      <c r="I469" s="56"/>
      <c r="J469" s="56"/>
      <c r="K469" s="56"/>
      <c r="L469" s="120"/>
      <c r="M469" s="121"/>
      <c r="N469" s="48"/>
      <c r="O469" s="49"/>
      <c r="P469" s="49"/>
    </row>
    <row r="470" spans="1:16" ht="36" hidden="1">
      <c r="A470" s="37" t="s">
        <v>116</v>
      </c>
      <c r="B470" s="67">
        <v>5108</v>
      </c>
      <c r="C470" s="56"/>
      <c r="D470" s="56"/>
      <c r="E470" s="56"/>
      <c r="F470" s="56"/>
      <c r="G470" s="56"/>
      <c r="H470" s="56"/>
      <c r="I470" s="56"/>
      <c r="J470" s="56"/>
      <c r="K470" s="56"/>
      <c r="L470" s="120"/>
      <c r="M470" s="121"/>
      <c r="N470" s="48"/>
      <c r="O470" s="49"/>
      <c r="P470" s="49"/>
    </row>
    <row r="471" spans="1:16" ht="48" hidden="1">
      <c r="A471" s="37" t="s">
        <v>117</v>
      </c>
      <c r="B471" s="67">
        <v>5109</v>
      </c>
      <c r="C471" s="56"/>
      <c r="D471" s="56"/>
      <c r="E471" s="56"/>
      <c r="F471" s="56"/>
      <c r="G471" s="56"/>
      <c r="H471" s="56"/>
      <c r="I471" s="56"/>
      <c r="J471" s="56"/>
      <c r="K471" s="56"/>
      <c r="L471" s="120"/>
      <c r="M471" s="121"/>
      <c r="N471" s="48"/>
      <c r="O471" s="49"/>
      <c r="P471" s="49"/>
    </row>
    <row r="472" spans="1:16" ht="132" hidden="1">
      <c r="A472" s="37" t="s">
        <v>118</v>
      </c>
      <c r="B472" s="70">
        <v>5110</v>
      </c>
      <c r="C472" s="12" t="s">
        <v>635</v>
      </c>
      <c r="D472" s="9" t="s">
        <v>685</v>
      </c>
      <c r="E472" s="9" t="s">
        <v>686</v>
      </c>
      <c r="F472" s="9" t="s">
        <v>683</v>
      </c>
      <c r="G472" s="9" t="s">
        <v>684</v>
      </c>
      <c r="H472" s="9" t="s">
        <v>682</v>
      </c>
      <c r="I472" s="9"/>
      <c r="J472" s="9"/>
      <c r="K472" s="9"/>
      <c r="L472" s="122" t="s">
        <v>303</v>
      </c>
      <c r="M472" s="123" t="s">
        <v>301</v>
      </c>
      <c r="N472" s="27"/>
      <c r="O472" s="49">
        <f>750</f>
        <v>750</v>
      </c>
      <c r="P472" s="49"/>
    </row>
    <row r="473" spans="1:16" ht="132" hidden="1">
      <c r="A473" s="37" t="s">
        <v>119</v>
      </c>
      <c r="B473" s="67">
        <v>5111</v>
      </c>
      <c r="C473" s="12" t="s">
        <v>635</v>
      </c>
      <c r="D473" s="9" t="s">
        <v>687</v>
      </c>
      <c r="E473" s="9" t="s">
        <v>686</v>
      </c>
      <c r="F473" s="56"/>
      <c r="G473" s="56"/>
      <c r="H473" s="56"/>
      <c r="I473" s="56"/>
      <c r="J473" s="56"/>
      <c r="K473" s="56"/>
      <c r="L473" s="122" t="s">
        <v>303</v>
      </c>
      <c r="M473" s="123" t="s">
        <v>305</v>
      </c>
      <c r="N473" s="27"/>
      <c r="O473" s="49">
        <f>327.8</f>
        <v>327.8</v>
      </c>
      <c r="P473" s="49"/>
    </row>
    <row r="474" spans="1:16" ht="132" hidden="1">
      <c r="A474" s="37" t="s">
        <v>120</v>
      </c>
      <c r="B474" s="67">
        <v>5112</v>
      </c>
      <c r="C474" s="12" t="s">
        <v>635</v>
      </c>
      <c r="D474" s="9" t="s">
        <v>688</v>
      </c>
      <c r="E474" s="9" t="s">
        <v>686</v>
      </c>
      <c r="F474" s="56"/>
      <c r="G474" s="56"/>
      <c r="H474" s="56"/>
      <c r="I474" s="56"/>
      <c r="J474" s="56"/>
      <c r="K474" s="56"/>
      <c r="L474" s="122" t="s">
        <v>303</v>
      </c>
      <c r="M474" s="123" t="s">
        <v>305</v>
      </c>
      <c r="N474" s="27"/>
      <c r="O474" s="49">
        <f>159</f>
        <v>159</v>
      </c>
      <c r="P474" s="49"/>
    </row>
    <row r="475" spans="1:16" ht="132" hidden="1">
      <c r="A475" s="37" t="s">
        <v>121</v>
      </c>
      <c r="B475" s="67">
        <v>5113</v>
      </c>
      <c r="C475" s="12" t="s">
        <v>635</v>
      </c>
      <c r="D475" s="9" t="s">
        <v>689</v>
      </c>
      <c r="E475" s="9" t="s">
        <v>686</v>
      </c>
      <c r="F475" s="56"/>
      <c r="G475" s="56"/>
      <c r="H475" s="56"/>
      <c r="I475" s="56"/>
      <c r="J475" s="56"/>
      <c r="K475" s="56"/>
      <c r="L475" s="122" t="s">
        <v>303</v>
      </c>
      <c r="M475" s="123" t="s">
        <v>305</v>
      </c>
      <c r="N475" s="27"/>
      <c r="O475" s="49">
        <f>254.7</f>
        <v>254.7</v>
      </c>
      <c r="P475" s="49">
        <v>917.6</v>
      </c>
    </row>
    <row r="476" spans="1:16" ht="36" hidden="1">
      <c r="A476" s="37" t="s">
        <v>122</v>
      </c>
      <c r="B476" s="67">
        <v>5114</v>
      </c>
      <c r="C476" s="56"/>
      <c r="D476" s="56"/>
      <c r="E476" s="56"/>
      <c r="F476" s="56"/>
      <c r="G476" s="56"/>
      <c r="H476" s="56"/>
      <c r="I476" s="56"/>
      <c r="J476" s="56"/>
      <c r="K476" s="56"/>
      <c r="L476" s="122"/>
      <c r="M476" s="123"/>
      <c r="N476" s="27"/>
      <c r="O476" s="49"/>
      <c r="P476" s="49"/>
    </row>
    <row r="477" spans="1:16" ht="180" hidden="1">
      <c r="A477" s="37" t="s">
        <v>123</v>
      </c>
      <c r="B477" s="67">
        <v>5115</v>
      </c>
      <c r="C477" s="56"/>
      <c r="D477" s="56"/>
      <c r="E477" s="56"/>
      <c r="F477" s="56"/>
      <c r="G477" s="56"/>
      <c r="H477" s="56"/>
      <c r="I477" s="56"/>
      <c r="J477" s="56"/>
      <c r="K477" s="56"/>
      <c r="L477" s="122"/>
      <c r="M477" s="123"/>
      <c r="N477" s="27"/>
      <c r="O477" s="49"/>
      <c r="P477" s="49"/>
    </row>
    <row r="478" spans="1:16" ht="144" hidden="1">
      <c r="A478" s="37" t="s">
        <v>124</v>
      </c>
      <c r="B478" s="67">
        <v>5116</v>
      </c>
      <c r="C478" s="56"/>
      <c r="D478" s="56"/>
      <c r="E478" s="56"/>
      <c r="F478" s="56"/>
      <c r="G478" s="56"/>
      <c r="H478" s="56"/>
      <c r="I478" s="56"/>
      <c r="J478" s="56"/>
      <c r="K478" s="56"/>
      <c r="L478" s="122"/>
      <c r="M478" s="123"/>
      <c r="N478" s="27"/>
      <c r="O478" s="49"/>
      <c r="P478" s="49"/>
    </row>
    <row r="479" spans="1:16" ht="48" hidden="1">
      <c r="A479" s="37" t="s">
        <v>731</v>
      </c>
      <c r="B479" s="67">
        <v>5117</v>
      </c>
      <c r="C479" s="17" t="s">
        <v>732</v>
      </c>
      <c r="D479" s="9" t="s">
        <v>733</v>
      </c>
      <c r="E479" s="9" t="s">
        <v>734</v>
      </c>
      <c r="F479" s="56"/>
      <c r="G479" s="56"/>
      <c r="H479" s="56"/>
      <c r="I479" s="56"/>
      <c r="J479" s="56"/>
      <c r="K479" s="56"/>
      <c r="L479" s="122"/>
      <c r="M479" s="123"/>
      <c r="N479" s="27"/>
      <c r="O479" s="49">
        <v>10189.1</v>
      </c>
      <c r="P479" s="49">
        <v>4458.3</v>
      </c>
    </row>
    <row r="480" spans="1:16" ht="12" hidden="1">
      <c r="A480" s="37" t="s">
        <v>13</v>
      </c>
      <c r="B480" s="67">
        <v>5118</v>
      </c>
      <c r="C480" s="56"/>
      <c r="D480" s="56"/>
      <c r="E480" s="56"/>
      <c r="F480" s="56"/>
      <c r="G480" s="56"/>
      <c r="H480" s="56"/>
      <c r="I480" s="56"/>
      <c r="J480" s="56"/>
      <c r="K480" s="56"/>
      <c r="L480" s="122"/>
      <c r="M480" s="123"/>
      <c r="N480" s="27"/>
      <c r="O480" s="49"/>
      <c r="P480" s="49"/>
    </row>
    <row r="481" spans="1:16" ht="108" hidden="1">
      <c r="A481" s="25" t="s">
        <v>35</v>
      </c>
      <c r="B481" s="68">
        <v>5200</v>
      </c>
      <c r="C481" s="57" t="s">
        <v>12</v>
      </c>
      <c r="D481" s="58" t="s">
        <v>12</v>
      </c>
      <c r="E481" s="58" t="s">
        <v>12</v>
      </c>
      <c r="F481" s="57" t="s">
        <v>12</v>
      </c>
      <c r="G481" s="58" t="s">
        <v>12</v>
      </c>
      <c r="H481" s="58" t="s">
        <v>12</v>
      </c>
      <c r="I481" s="58"/>
      <c r="J481" s="58"/>
      <c r="K481" s="58"/>
      <c r="L481" s="124" t="s">
        <v>12</v>
      </c>
      <c r="M481" s="125" t="s">
        <v>12</v>
      </c>
      <c r="N481" s="50"/>
      <c r="O481" s="51">
        <f>O482+O496+O499</f>
        <v>0</v>
      </c>
      <c r="P481" s="51">
        <f>P482+P496+P499</f>
        <v>0</v>
      </c>
    </row>
    <row r="482" spans="1:16" ht="60" hidden="1">
      <c r="A482" s="25" t="s">
        <v>282</v>
      </c>
      <c r="B482" s="68">
        <v>5201</v>
      </c>
      <c r="C482" s="57" t="s">
        <v>12</v>
      </c>
      <c r="D482" s="58" t="s">
        <v>12</v>
      </c>
      <c r="E482" s="58" t="s">
        <v>12</v>
      </c>
      <c r="F482" s="57" t="s">
        <v>12</v>
      </c>
      <c r="G482" s="58" t="s">
        <v>12</v>
      </c>
      <c r="H482" s="58" t="s">
        <v>12</v>
      </c>
      <c r="I482" s="58"/>
      <c r="J482" s="58"/>
      <c r="K482" s="58"/>
      <c r="L482" s="124" t="s">
        <v>12</v>
      </c>
      <c r="M482" s="125" t="s">
        <v>12</v>
      </c>
      <c r="N482" s="50"/>
      <c r="O482" s="51">
        <f>SUM(O483:O495)</f>
        <v>0</v>
      </c>
      <c r="P482" s="51">
        <f>SUM(P483:P495)</f>
        <v>0</v>
      </c>
    </row>
    <row r="483" spans="1:16" ht="12" hidden="1">
      <c r="A483" s="37" t="s">
        <v>283</v>
      </c>
      <c r="B483" s="67">
        <v>5202</v>
      </c>
      <c r="C483" s="56"/>
      <c r="D483" s="56"/>
      <c r="E483" s="56"/>
      <c r="F483" s="56"/>
      <c r="G483" s="56"/>
      <c r="H483" s="56"/>
      <c r="I483" s="56"/>
      <c r="J483" s="56"/>
      <c r="K483" s="56"/>
      <c r="L483" s="120"/>
      <c r="M483" s="121"/>
      <c r="N483" s="48"/>
      <c r="O483" s="49"/>
      <c r="P483" s="49"/>
    </row>
    <row r="484" spans="1:16" ht="48" hidden="1">
      <c r="A484" s="37" t="s">
        <v>284</v>
      </c>
      <c r="B484" s="67">
        <v>5203</v>
      </c>
      <c r="C484" s="56"/>
      <c r="D484" s="56"/>
      <c r="E484" s="56"/>
      <c r="F484" s="56"/>
      <c r="G484" s="56"/>
      <c r="H484" s="56"/>
      <c r="I484" s="56"/>
      <c r="J484" s="56"/>
      <c r="K484" s="56"/>
      <c r="L484" s="120"/>
      <c r="M484" s="121"/>
      <c r="N484" s="48"/>
      <c r="O484" s="49"/>
      <c r="P484" s="49"/>
    </row>
    <row r="485" spans="1:16" ht="24" hidden="1">
      <c r="A485" s="37" t="s">
        <v>126</v>
      </c>
      <c r="B485" s="67">
        <v>5204</v>
      </c>
      <c r="C485" s="56"/>
      <c r="D485" s="56"/>
      <c r="E485" s="56"/>
      <c r="F485" s="56"/>
      <c r="G485" s="56"/>
      <c r="H485" s="56"/>
      <c r="I485" s="56"/>
      <c r="J485" s="56"/>
      <c r="K485" s="56"/>
      <c r="L485" s="120"/>
      <c r="M485" s="121"/>
      <c r="N485" s="48"/>
      <c r="O485" s="49"/>
      <c r="P485" s="49"/>
    </row>
    <row r="486" spans="1:16" ht="48" hidden="1">
      <c r="A486" s="37" t="s">
        <v>285</v>
      </c>
      <c r="B486" s="67">
        <v>5205</v>
      </c>
      <c r="C486" s="56"/>
      <c r="D486" s="56"/>
      <c r="E486" s="56"/>
      <c r="F486" s="56"/>
      <c r="G486" s="56"/>
      <c r="H486" s="56"/>
      <c r="I486" s="56"/>
      <c r="J486" s="56"/>
      <c r="K486" s="56"/>
      <c r="L486" s="120"/>
      <c r="M486" s="121"/>
      <c r="N486" s="48"/>
      <c r="O486" s="49"/>
      <c r="P486" s="49"/>
    </row>
    <row r="487" spans="1:16" ht="60" hidden="1">
      <c r="A487" s="37" t="s">
        <v>286</v>
      </c>
      <c r="B487" s="67">
        <v>5206</v>
      </c>
      <c r="C487" s="56"/>
      <c r="D487" s="56"/>
      <c r="E487" s="56"/>
      <c r="F487" s="56"/>
      <c r="G487" s="56"/>
      <c r="H487" s="56"/>
      <c r="I487" s="56"/>
      <c r="J487" s="56"/>
      <c r="K487" s="56"/>
      <c r="L487" s="120"/>
      <c r="M487" s="121"/>
      <c r="N487" s="48"/>
      <c r="O487" s="49"/>
      <c r="P487" s="49"/>
    </row>
    <row r="488" spans="1:16" ht="60" hidden="1">
      <c r="A488" s="37" t="s">
        <v>287</v>
      </c>
      <c r="B488" s="67">
        <v>5207</v>
      </c>
      <c r="C488" s="56"/>
      <c r="D488" s="56"/>
      <c r="E488" s="56"/>
      <c r="F488" s="56"/>
      <c r="G488" s="56"/>
      <c r="H488" s="56"/>
      <c r="I488" s="56"/>
      <c r="J488" s="56"/>
      <c r="K488" s="56"/>
      <c r="L488" s="120"/>
      <c r="M488" s="121"/>
      <c r="N488" s="48"/>
      <c r="O488" s="49"/>
      <c r="P488" s="49"/>
    </row>
    <row r="489" spans="1:16" ht="12" hidden="1">
      <c r="A489" s="37" t="s">
        <v>225</v>
      </c>
      <c r="B489" s="67">
        <v>5208</v>
      </c>
      <c r="C489" s="56"/>
      <c r="D489" s="56"/>
      <c r="E489" s="56"/>
      <c r="F489" s="56"/>
      <c r="G489" s="56"/>
      <c r="H489" s="56"/>
      <c r="I489" s="56"/>
      <c r="J489" s="56"/>
      <c r="K489" s="56"/>
      <c r="L489" s="120"/>
      <c r="M489" s="121"/>
      <c r="N489" s="48"/>
      <c r="O489" s="49"/>
      <c r="P489" s="49"/>
    </row>
    <row r="490" spans="1:16" ht="12" hidden="1">
      <c r="A490" s="37" t="s">
        <v>130</v>
      </c>
      <c r="B490" s="67">
        <v>5209</v>
      </c>
      <c r="C490" s="56"/>
      <c r="D490" s="56"/>
      <c r="E490" s="56"/>
      <c r="F490" s="56"/>
      <c r="G490" s="56"/>
      <c r="H490" s="56"/>
      <c r="I490" s="56"/>
      <c r="J490" s="56"/>
      <c r="K490" s="56"/>
      <c r="L490" s="120"/>
      <c r="M490" s="121"/>
      <c r="N490" s="48"/>
      <c r="O490" s="49"/>
      <c r="P490" s="49"/>
    </row>
    <row r="491" spans="1:16" ht="72" hidden="1">
      <c r="A491" s="37" t="s">
        <v>131</v>
      </c>
      <c r="B491" s="67">
        <v>5210</v>
      </c>
      <c r="C491" s="56"/>
      <c r="D491" s="56"/>
      <c r="E491" s="56"/>
      <c r="F491" s="56"/>
      <c r="G491" s="56"/>
      <c r="H491" s="56"/>
      <c r="I491" s="56"/>
      <c r="J491" s="56"/>
      <c r="K491" s="56"/>
      <c r="L491" s="120"/>
      <c r="M491" s="121"/>
      <c r="N491" s="48"/>
      <c r="O491" s="49"/>
      <c r="P491" s="49"/>
    </row>
    <row r="492" spans="1:16" ht="84" hidden="1">
      <c r="A492" s="37" t="s">
        <v>132</v>
      </c>
      <c r="B492" s="67">
        <v>5211</v>
      </c>
      <c r="C492" s="56"/>
      <c r="D492" s="56"/>
      <c r="E492" s="56"/>
      <c r="F492" s="56"/>
      <c r="G492" s="56"/>
      <c r="H492" s="56"/>
      <c r="I492" s="56"/>
      <c r="J492" s="56"/>
      <c r="K492" s="56"/>
      <c r="L492" s="120"/>
      <c r="M492" s="121"/>
      <c r="N492" s="48"/>
      <c r="O492" s="49"/>
      <c r="P492" s="49"/>
    </row>
    <row r="493" spans="1:16" ht="60" hidden="1">
      <c r="A493" s="37" t="s">
        <v>135</v>
      </c>
      <c r="B493" s="67">
        <v>5212</v>
      </c>
      <c r="C493" s="56"/>
      <c r="D493" s="56"/>
      <c r="E493" s="56"/>
      <c r="F493" s="56"/>
      <c r="G493" s="56"/>
      <c r="H493" s="56"/>
      <c r="I493" s="56"/>
      <c r="J493" s="56"/>
      <c r="K493" s="56"/>
      <c r="L493" s="120"/>
      <c r="M493" s="121"/>
      <c r="N493" s="48"/>
      <c r="O493" s="49"/>
      <c r="P493" s="49"/>
    </row>
    <row r="494" spans="1:16" ht="72" hidden="1">
      <c r="A494" s="37" t="s">
        <v>226</v>
      </c>
      <c r="B494" s="67">
        <v>5213</v>
      </c>
      <c r="C494" s="56"/>
      <c r="D494" s="56"/>
      <c r="E494" s="56"/>
      <c r="F494" s="56"/>
      <c r="G494" s="56"/>
      <c r="H494" s="56"/>
      <c r="I494" s="56"/>
      <c r="J494" s="56"/>
      <c r="K494" s="56"/>
      <c r="L494" s="120"/>
      <c r="M494" s="121"/>
      <c r="N494" s="48"/>
      <c r="O494" s="49"/>
      <c r="P494" s="49"/>
    </row>
    <row r="495" spans="1:16" ht="48" hidden="1">
      <c r="A495" s="37" t="s">
        <v>288</v>
      </c>
      <c r="B495" s="67">
        <v>5214</v>
      </c>
      <c r="C495" s="56"/>
      <c r="D495" s="56"/>
      <c r="E495" s="56"/>
      <c r="F495" s="56"/>
      <c r="G495" s="56"/>
      <c r="H495" s="56"/>
      <c r="I495" s="56"/>
      <c r="J495" s="56"/>
      <c r="K495" s="56"/>
      <c r="L495" s="120"/>
      <c r="M495" s="121"/>
      <c r="N495" s="48"/>
      <c r="O495" s="49"/>
      <c r="P495" s="49"/>
    </row>
    <row r="496" spans="1:16" ht="108" hidden="1">
      <c r="A496" s="25" t="s">
        <v>289</v>
      </c>
      <c r="B496" s="68">
        <v>5300</v>
      </c>
      <c r="C496" s="57" t="s">
        <v>12</v>
      </c>
      <c r="D496" s="58" t="s">
        <v>12</v>
      </c>
      <c r="E496" s="58" t="s">
        <v>12</v>
      </c>
      <c r="F496" s="57" t="s">
        <v>12</v>
      </c>
      <c r="G496" s="58" t="s">
        <v>12</v>
      </c>
      <c r="H496" s="58" t="s">
        <v>12</v>
      </c>
      <c r="I496" s="58"/>
      <c r="J496" s="58"/>
      <c r="K496" s="58"/>
      <c r="L496" s="124" t="s">
        <v>12</v>
      </c>
      <c r="M496" s="125" t="s">
        <v>12</v>
      </c>
      <c r="N496" s="50"/>
      <c r="O496" s="51">
        <f>SUM(O497:O498)</f>
        <v>0</v>
      </c>
      <c r="P496" s="51">
        <f>SUM(P497:P498)</f>
        <v>0</v>
      </c>
    </row>
    <row r="497" spans="1:16" ht="12" hidden="1">
      <c r="A497" s="37" t="s">
        <v>13</v>
      </c>
      <c r="B497" s="67">
        <v>5301</v>
      </c>
      <c r="C497" s="17"/>
      <c r="D497" s="23"/>
      <c r="E497" s="23"/>
      <c r="F497" s="17"/>
      <c r="G497" s="23"/>
      <c r="H497" s="23"/>
      <c r="I497" s="23"/>
      <c r="J497" s="23"/>
      <c r="K497" s="23"/>
      <c r="L497" s="122"/>
      <c r="M497" s="123"/>
      <c r="N497" s="48"/>
      <c r="O497" s="49"/>
      <c r="P497" s="49"/>
    </row>
    <row r="498" spans="1:16" ht="12" hidden="1">
      <c r="A498" s="37" t="s">
        <v>13</v>
      </c>
      <c r="B498" s="67">
        <v>5302</v>
      </c>
      <c r="C498" s="17"/>
      <c r="D498" s="23"/>
      <c r="E498" s="23"/>
      <c r="F498" s="17"/>
      <c r="G498" s="23"/>
      <c r="H498" s="23"/>
      <c r="I498" s="23"/>
      <c r="J498" s="23"/>
      <c r="K498" s="23"/>
      <c r="L498" s="122"/>
      <c r="M498" s="123"/>
      <c r="N498" s="48"/>
      <c r="O498" s="49"/>
      <c r="P498" s="49"/>
    </row>
    <row r="499" spans="1:16" ht="96" hidden="1">
      <c r="A499" s="25" t="s">
        <v>290</v>
      </c>
      <c r="B499" s="68">
        <v>5400</v>
      </c>
      <c r="C499" s="57" t="s">
        <v>12</v>
      </c>
      <c r="D499" s="58" t="s">
        <v>12</v>
      </c>
      <c r="E499" s="58" t="s">
        <v>12</v>
      </c>
      <c r="F499" s="57" t="s">
        <v>12</v>
      </c>
      <c r="G499" s="58" t="s">
        <v>12</v>
      </c>
      <c r="H499" s="58" t="s">
        <v>12</v>
      </c>
      <c r="I499" s="58"/>
      <c r="J499" s="58"/>
      <c r="K499" s="58"/>
      <c r="L499" s="124" t="s">
        <v>12</v>
      </c>
      <c r="M499" s="125" t="s">
        <v>12</v>
      </c>
      <c r="N499" s="50"/>
      <c r="O499" s="51">
        <f>SUM(O500:O501)</f>
        <v>0</v>
      </c>
      <c r="P499" s="51">
        <f>SUM(P500:P501)</f>
        <v>0</v>
      </c>
    </row>
    <row r="500" spans="1:16" ht="12" hidden="1">
      <c r="A500" s="37" t="s">
        <v>13</v>
      </c>
      <c r="B500" s="67">
        <v>5401</v>
      </c>
      <c r="C500" s="17"/>
      <c r="D500" s="23"/>
      <c r="E500" s="23"/>
      <c r="F500" s="17"/>
      <c r="G500" s="23"/>
      <c r="H500" s="23"/>
      <c r="I500" s="23"/>
      <c r="J500" s="23"/>
      <c r="K500" s="23"/>
      <c r="L500" s="122"/>
      <c r="M500" s="123"/>
      <c r="N500" s="48"/>
      <c r="O500" s="49"/>
      <c r="P500" s="49"/>
    </row>
    <row r="501" spans="1:16" ht="12" hidden="1">
      <c r="A501" s="37" t="s">
        <v>13</v>
      </c>
      <c r="B501" s="67">
        <v>5402</v>
      </c>
      <c r="C501" s="17"/>
      <c r="D501" s="23"/>
      <c r="E501" s="23"/>
      <c r="F501" s="17"/>
      <c r="G501" s="23"/>
      <c r="H501" s="23"/>
      <c r="I501" s="23"/>
      <c r="J501" s="23"/>
      <c r="K501" s="23"/>
      <c r="L501" s="122"/>
      <c r="M501" s="123"/>
      <c r="N501" s="48"/>
      <c r="O501" s="49"/>
      <c r="P501" s="49"/>
    </row>
    <row r="502" spans="1:16" ht="132" hidden="1">
      <c r="A502" s="25" t="s">
        <v>36</v>
      </c>
      <c r="B502" s="68">
        <v>5500</v>
      </c>
      <c r="C502" s="57" t="s">
        <v>12</v>
      </c>
      <c r="D502" s="58" t="s">
        <v>12</v>
      </c>
      <c r="E502" s="58" t="s">
        <v>12</v>
      </c>
      <c r="F502" s="57" t="s">
        <v>12</v>
      </c>
      <c r="G502" s="58" t="s">
        <v>12</v>
      </c>
      <c r="H502" s="58" t="s">
        <v>12</v>
      </c>
      <c r="I502" s="58"/>
      <c r="J502" s="58"/>
      <c r="K502" s="58"/>
      <c r="L502" s="124" t="s">
        <v>12</v>
      </c>
      <c r="M502" s="125" t="s">
        <v>12</v>
      </c>
      <c r="N502" s="50"/>
      <c r="O502" s="51">
        <f>O503+O541</f>
        <v>7630.4</v>
      </c>
      <c r="P502" s="51">
        <f>P503+P541</f>
        <v>6832</v>
      </c>
    </row>
    <row r="503" spans="1:16" ht="48" hidden="1">
      <c r="A503" s="25" t="s">
        <v>291</v>
      </c>
      <c r="B503" s="68">
        <v>5501</v>
      </c>
      <c r="C503" s="57" t="s">
        <v>12</v>
      </c>
      <c r="D503" s="58" t="s">
        <v>12</v>
      </c>
      <c r="E503" s="58" t="s">
        <v>12</v>
      </c>
      <c r="F503" s="57" t="s">
        <v>12</v>
      </c>
      <c r="G503" s="58" t="s">
        <v>12</v>
      </c>
      <c r="H503" s="58" t="s">
        <v>12</v>
      </c>
      <c r="I503" s="58"/>
      <c r="J503" s="58"/>
      <c r="K503" s="58"/>
      <c r="L503" s="124" t="s">
        <v>12</v>
      </c>
      <c r="M503" s="125" t="s">
        <v>12</v>
      </c>
      <c r="N503" s="50"/>
      <c r="O503" s="51">
        <f>SUM(O504:O540)</f>
        <v>7630.4</v>
      </c>
      <c r="P503" s="51">
        <f>SUM(P504:P540)</f>
        <v>6832</v>
      </c>
    </row>
    <row r="504" spans="1:16" ht="48" hidden="1">
      <c r="A504" s="37" t="s">
        <v>141</v>
      </c>
      <c r="B504" s="67">
        <v>5502</v>
      </c>
      <c r="C504" s="17"/>
      <c r="D504" s="23"/>
      <c r="E504" s="23"/>
      <c r="F504" s="17"/>
      <c r="G504" s="23"/>
      <c r="H504" s="23"/>
      <c r="I504" s="23"/>
      <c r="J504" s="23"/>
      <c r="K504" s="23"/>
      <c r="L504" s="122"/>
      <c r="M504" s="123"/>
      <c r="N504" s="48"/>
      <c r="O504" s="49"/>
      <c r="P504" s="49"/>
    </row>
    <row r="505" spans="1:16" ht="60" hidden="1">
      <c r="A505" s="37" t="s">
        <v>142</v>
      </c>
      <c r="B505" s="67">
        <v>5503</v>
      </c>
      <c r="C505" s="17"/>
      <c r="D505" s="23"/>
      <c r="E505" s="23"/>
      <c r="F505" s="17"/>
      <c r="G505" s="23"/>
      <c r="H505" s="23"/>
      <c r="I505" s="23"/>
      <c r="J505" s="23"/>
      <c r="K505" s="23"/>
      <c r="L505" s="122"/>
      <c r="M505" s="123"/>
      <c r="N505" s="48"/>
      <c r="O505" s="49"/>
      <c r="P505" s="49"/>
    </row>
    <row r="506" spans="1:16" ht="60" hidden="1">
      <c r="A506" s="37" t="s">
        <v>143</v>
      </c>
      <c r="B506" s="67">
        <v>5504</v>
      </c>
      <c r="C506" s="17"/>
      <c r="D506" s="23"/>
      <c r="E506" s="23"/>
      <c r="F506" s="17"/>
      <c r="G506" s="23"/>
      <c r="H506" s="23"/>
      <c r="I506" s="23"/>
      <c r="J506" s="23"/>
      <c r="K506" s="23"/>
      <c r="L506" s="122"/>
      <c r="M506" s="123"/>
      <c r="N506" s="48"/>
      <c r="O506" s="49"/>
      <c r="P506" s="49"/>
    </row>
    <row r="507" spans="1:16" ht="60" hidden="1">
      <c r="A507" s="37" t="s">
        <v>144</v>
      </c>
      <c r="B507" s="67">
        <v>5505</v>
      </c>
      <c r="C507" s="17"/>
      <c r="D507" s="23"/>
      <c r="E507" s="23"/>
      <c r="F507" s="17"/>
      <c r="G507" s="23"/>
      <c r="H507" s="23"/>
      <c r="I507" s="23"/>
      <c r="J507" s="23"/>
      <c r="K507" s="23"/>
      <c r="L507" s="122"/>
      <c r="M507" s="123"/>
      <c r="N507" s="48"/>
      <c r="O507" s="49">
        <f>2.7</f>
        <v>2.7</v>
      </c>
      <c r="P507" s="49">
        <f>2.5</f>
        <v>2.5</v>
      </c>
    </row>
    <row r="508" spans="1:16" ht="36" hidden="1">
      <c r="A508" s="37" t="s">
        <v>145</v>
      </c>
      <c r="B508" s="67">
        <v>5506</v>
      </c>
      <c r="C508" s="17"/>
      <c r="D508" s="23"/>
      <c r="E508" s="23"/>
      <c r="F508" s="17"/>
      <c r="G508" s="23"/>
      <c r="H508" s="23"/>
      <c r="I508" s="23"/>
      <c r="J508" s="23"/>
      <c r="K508" s="23"/>
      <c r="L508" s="122"/>
      <c r="M508" s="123"/>
      <c r="N508" s="48"/>
      <c r="O508" s="49"/>
      <c r="P508" s="49"/>
    </row>
    <row r="509" spans="1:16" ht="24" hidden="1">
      <c r="A509" s="37" t="s">
        <v>146</v>
      </c>
      <c r="B509" s="67">
        <v>5507</v>
      </c>
      <c r="C509" s="17"/>
      <c r="D509" s="23"/>
      <c r="E509" s="23"/>
      <c r="F509" s="17"/>
      <c r="G509" s="23"/>
      <c r="H509" s="23"/>
      <c r="I509" s="23"/>
      <c r="J509" s="23"/>
      <c r="K509" s="23"/>
      <c r="L509" s="122"/>
      <c r="M509" s="123"/>
      <c r="N509" s="48"/>
      <c r="O509" s="49"/>
      <c r="P509" s="49"/>
    </row>
    <row r="510" spans="1:16" ht="36" hidden="1">
      <c r="A510" s="37" t="s">
        <v>147</v>
      </c>
      <c r="B510" s="67">
        <v>5508</v>
      </c>
      <c r="C510" s="17"/>
      <c r="D510" s="23"/>
      <c r="E510" s="23"/>
      <c r="F510" s="17"/>
      <c r="G510" s="23"/>
      <c r="H510" s="23"/>
      <c r="I510" s="23"/>
      <c r="J510" s="23"/>
      <c r="K510" s="23"/>
      <c r="L510" s="122"/>
      <c r="M510" s="123"/>
      <c r="N510" s="48"/>
      <c r="O510" s="49">
        <f>5171.4</f>
        <v>5171.4</v>
      </c>
      <c r="P510" s="49">
        <f>4120.2</f>
        <v>4120.2</v>
      </c>
    </row>
    <row r="511" spans="1:16" ht="36" hidden="1">
      <c r="A511" s="37" t="s">
        <v>148</v>
      </c>
      <c r="B511" s="67">
        <v>5509</v>
      </c>
      <c r="C511" s="17"/>
      <c r="D511" s="23"/>
      <c r="E511" s="23"/>
      <c r="F511" s="17"/>
      <c r="G511" s="23"/>
      <c r="H511" s="23"/>
      <c r="I511" s="23"/>
      <c r="J511" s="23"/>
      <c r="K511" s="23"/>
      <c r="L511" s="122"/>
      <c r="M511" s="123"/>
      <c r="N511" s="48"/>
      <c r="O511" s="49"/>
      <c r="P511" s="49"/>
    </row>
    <row r="512" spans="1:16" ht="24" hidden="1">
      <c r="A512" s="37" t="s">
        <v>149</v>
      </c>
      <c r="B512" s="67">
        <v>5510</v>
      </c>
      <c r="C512" s="17"/>
      <c r="D512" s="23"/>
      <c r="E512" s="23"/>
      <c r="F512" s="17"/>
      <c r="G512" s="23"/>
      <c r="H512" s="23"/>
      <c r="I512" s="23"/>
      <c r="J512" s="23"/>
      <c r="K512" s="23"/>
      <c r="L512" s="122"/>
      <c r="M512" s="123"/>
      <c r="N512" s="48"/>
      <c r="O512" s="49">
        <f>84.1</f>
        <v>84.1</v>
      </c>
      <c r="P512" s="49">
        <f>51.2</f>
        <v>51.2</v>
      </c>
    </row>
    <row r="513" spans="1:16" ht="48" hidden="1">
      <c r="A513" s="37" t="s">
        <v>150</v>
      </c>
      <c r="B513" s="67">
        <v>5511</v>
      </c>
      <c r="C513" s="17"/>
      <c r="D513" s="23"/>
      <c r="E513" s="23"/>
      <c r="F513" s="17"/>
      <c r="G513" s="23"/>
      <c r="H513" s="23"/>
      <c r="I513" s="23"/>
      <c r="J513" s="23"/>
      <c r="K513" s="23"/>
      <c r="L513" s="122"/>
      <c r="M513" s="123"/>
      <c r="N513" s="48"/>
      <c r="O513" s="49"/>
      <c r="P513" s="49"/>
    </row>
    <row r="514" spans="1:16" ht="24" hidden="1">
      <c r="A514" s="37" t="s">
        <v>151</v>
      </c>
      <c r="B514" s="67">
        <v>5512</v>
      </c>
      <c r="C514" s="17"/>
      <c r="D514" s="23"/>
      <c r="E514" s="23"/>
      <c r="F514" s="17"/>
      <c r="G514" s="23"/>
      <c r="H514" s="23"/>
      <c r="I514" s="23"/>
      <c r="J514" s="23"/>
      <c r="K514" s="23"/>
      <c r="L514" s="122"/>
      <c r="M514" s="123"/>
      <c r="N514" s="48"/>
      <c r="O514" s="49"/>
      <c r="P514" s="49"/>
    </row>
    <row r="515" spans="1:16" ht="72" hidden="1">
      <c r="A515" s="37" t="s">
        <v>181</v>
      </c>
      <c r="B515" s="67">
        <v>5513</v>
      </c>
      <c r="C515" s="17"/>
      <c r="D515" s="23"/>
      <c r="E515" s="23"/>
      <c r="F515" s="17"/>
      <c r="G515" s="23"/>
      <c r="H515" s="23"/>
      <c r="I515" s="23"/>
      <c r="J515" s="23"/>
      <c r="K515" s="23"/>
      <c r="L515" s="122"/>
      <c r="M515" s="123"/>
      <c r="N515" s="48"/>
      <c r="O515" s="49"/>
      <c r="P515" s="49"/>
    </row>
    <row r="516" spans="1:16" ht="36" hidden="1">
      <c r="A516" s="37" t="s">
        <v>152</v>
      </c>
      <c r="B516" s="67">
        <v>5514</v>
      </c>
      <c r="C516" s="17"/>
      <c r="D516" s="23"/>
      <c r="E516" s="23"/>
      <c r="F516" s="17"/>
      <c r="G516" s="23"/>
      <c r="H516" s="23"/>
      <c r="I516" s="23"/>
      <c r="J516" s="23"/>
      <c r="K516" s="23"/>
      <c r="L516" s="122"/>
      <c r="M516" s="123"/>
      <c r="N516" s="48"/>
      <c r="O516" s="49"/>
      <c r="P516" s="49"/>
    </row>
    <row r="517" spans="1:16" ht="24" hidden="1">
      <c r="A517" s="37" t="s">
        <v>153</v>
      </c>
      <c r="B517" s="67">
        <v>5515</v>
      </c>
      <c r="C517" s="17"/>
      <c r="D517" s="23"/>
      <c r="E517" s="23"/>
      <c r="F517" s="17"/>
      <c r="G517" s="23"/>
      <c r="H517" s="23"/>
      <c r="I517" s="23"/>
      <c r="J517" s="23"/>
      <c r="K517" s="23"/>
      <c r="L517" s="122"/>
      <c r="M517" s="123"/>
      <c r="N517" s="48"/>
      <c r="O517" s="49"/>
      <c r="P517" s="49"/>
    </row>
    <row r="518" spans="1:16" ht="84" hidden="1">
      <c r="A518" s="37" t="s">
        <v>154</v>
      </c>
      <c r="B518" s="67">
        <v>5516</v>
      </c>
      <c r="C518" s="17"/>
      <c r="D518" s="23"/>
      <c r="E518" s="23"/>
      <c r="F518" s="17"/>
      <c r="G518" s="23"/>
      <c r="H518" s="23"/>
      <c r="I518" s="23"/>
      <c r="J518" s="23"/>
      <c r="K518" s="23"/>
      <c r="L518" s="122"/>
      <c r="M518" s="123"/>
      <c r="N518" s="48"/>
      <c r="O518" s="49"/>
      <c r="P518" s="49"/>
    </row>
    <row r="519" spans="1:16" ht="36" hidden="1">
      <c r="A519" s="37" t="s">
        <v>155</v>
      </c>
      <c r="B519" s="67">
        <v>5517</v>
      </c>
      <c r="C519" s="17"/>
      <c r="D519" s="23"/>
      <c r="E519" s="23"/>
      <c r="F519" s="17"/>
      <c r="G519" s="23"/>
      <c r="H519" s="23"/>
      <c r="I519" s="23"/>
      <c r="J519" s="23"/>
      <c r="K519" s="23"/>
      <c r="L519" s="122"/>
      <c r="M519" s="123"/>
      <c r="N519" s="48"/>
      <c r="O519" s="49"/>
      <c r="P519" s="49"/>
    </row>
    <row r="520" spans="1:16" ht="60" hidden="1">
      <c r="A520" s="37" t="s">
        <v>156</v>
      </c>
      <c r="B520" s="67">
        <v>5518</v>
      </c>
      <c r="C520" s="17"/>
      <c r="D520" s="23"/>
      <c r="E520" s="23"/>
      <c r="F520" s="17"/>
      <c r="G520" s="23"/>
      <c r="H520" s="23"/>
      <c r="I520" s="23"/>
      <c r="J520" s="23"/>
      <c r="K520" s="23"/>
      <c r="L520" s="122"/>
      <c r="M520" s="123"/>
      <c r="N520" s="48"/>
      <c r="O520" s="49"/>
      <c r="P520" s="49"/>
    </row>
    <row r="521" spans="1:16" ht="36" hidden="1">
      <c r="A521" s="37" t="s">
        <v>157</v>
      </c>
      <c r="B521" s="67">
        <v>5519</v>
      </c>
      <c r="C521" s="17"/>
      <c r="D521" s="23"/>
      <c r="E521" s="23"/>
      <c r="F521" s="17"/>
      <c r="G521" s="23"/>
      <c r="H521" s="23"/>
      <c r="I521" s="23"/>
      <c r="J521" s="23"/>
      <c r="K521" s="23"/>
      <c r="L521" s="122"/>
      <c r="M521" s="123"/>
      <c r="N521" s="48"/>
      <c r="O521" s="49"/>
      <c r="P521" s="49"/>
    </row>
    <row r="522" spans="1:16" ht="72" hidden="1">
      <c r="A522" s="37" t="s">
        <v>158</v>
      </c>
      <c r="B522" s="67">
        <v>5520</v>
      </c>
      <c r="C522" s="17"/>
      <c r="D522" s="23"/>
      <c r="E522" s="23"/>
      <c r="F522" s="17"/>
      <c r="G522" s="23"/>
      <c r="H522" s="23"/>
      <c r="I522" s="23"/>
      <c r="J522" s="23"/>
      <c r="K522" s="23"/>
      <c r="L522" s="122"/>
      <c r="M522" s="123"/>
      <c r="N522" s="48"/>
      <c r="O522" s="49"/>
      <c r="P522" s="49"/>
    </row>
    <row r="523" spans="1:16" ht="168" hidden="1">
      <c r="A523" s="37" t="s">
        <v>159</v>
      </c>
      <c r="B523" s="67">
        <v>5521</v>
      </c>
      <c r="C523" s="17"/>
      <c r="D523" s="23"/>
      <c r="E523" s="23"/>
      <c r="F523" s="17"/>
      <c r="G523" s="23"/>
      <c r="H523" s="23"/>
      <c r="I523" s="23"/>
      <c r="J523" s="23"/>
      <c r="K523" s="23"/>
      <c r="L523" s="122"/>
      <c r="M523" s="123"/>
      <c r="N523" s="48"/>
      <c r="O523" s="49"/>
      <c r="P523" s="49"/>
    </row>
    <row r="524" spans="1:16" ht="48" hidden="1">
      <c r="A524" s="37" t="s">
        <v>160</v>
      </c>
      <c r="B524" s="67">
        <v>5522</v>
      </c>
      <c r="C524" s="17"/>
      <c r="D524" s="23"/>
      <c r="E524" s="23"/>
      <c r="F524" s="17"/>
      <c r="G524" s="23"/>
      <c r="H524" s="23"/>
      <c r="I524" s="23"/>
      <c r="J524" s="23"/>
      <c r="K524" s="23"/>
      <c r="L524" s="122"/>
      <c r="M524" s="123"/>
      <c r="N524" s="48"/>
      <c r="O524" s="49"/>
      <c r="P524" s="49"/>
    </row>
    <row r="525" spans="1:16" ht="36" hidden="1">
      <c r="A525" s="37" t="s">
        <v>157</v>
      </c>
      <c r="B525" s="67">
        <v>5523</v>
      </c>
      <c r="C525" s="17"/>
      <c r="D525" s="23"/>
      <c r="E525" s="23"/>
      <c r="F525" s="17"/>
      <c r="G525" s="23"/>
      <c r="H525" s="23"/>
      <c r="I525" s="23"/>
      <c r="J525" s="23"/>
      <c r="K525" s="23"/>
      <c r="L525" s="122"/>
      <c r="M525" s="123"/>
      <c r="N525" s="48"/>
      <c r="O525" s="49"/>
      <c r="P525" s="49"/>
    </row>
    <row r="526" spans="1:16" ht="24" hidden="1">
      <c r="A526" s="37" t="s">
        <v>161</v>
      </c>
      <c r="B526" s="67">
        <v>5524</v>
      </c>
      <c r="C526" s="17"/>
      <c r="D526" s="23"/>
      <c r="E526" s="23"/>
      <c r="F526" s="17"/>
      <c r="G526" s="23"/>
      <c r="H526" s="23"/>
      <c r="I526" s="23"/>
      <c r="J526" s="23"/>
      <c r="K526" s="23"/>
      <c r="L526" s="122"/>
      <c r="M526" s="123"/>
      <c r="N526" s="48"/>
      <c r="O526" s="49"/>
      <c r="P526" s="49"/>
    </row>
    <row r="527" spans="1:16" ht="48" hidden="1">
      <c r="A527" s="37" t="s">
        <v>162</v>
      </c>
      <c r="B527" s="67">
        <v>5525</v>
      </c>
      <c r="C527" s="17"/>
      <c r="D527" s="23"/>
      <c r="E527" s="23"/>
      <c r="F527" s="17"/>
      <c r="G527" s="23"/>
      <c r="H527" s="23"/>
      <c r="I527" s="23"/>
      <c r="J527" s="23"/>
      <c r="K527" s="23"/>
      <c r="L527" s="122"/>
      <c r="M527" s="123"/>
      <c r="N527" s="48"/>
      <c r="O527" s="49"/>
      <c r="P527" s="49"/>
    </row>
    <row r="528" spans="1:16" ht="36" hidden="1">
      <c r="A528" s="37" t="s">
        <v>157</v>
      </c>
      <c r="B528" s="67">
        <v>5526</v>
      </c>
      <c r="C528" s="17"/>
      <c r="D528" s="23"/>
      <c r="E528" s="23"/>
      <c r="F528" s="17"/>
      <c r="G528" s="23"/>
      <c r="H528" s="23"/>
      <c r="I528" s="23"/>
      <c r="J528" s="23"/>
      <c r="K528" s="23"/>
      <c r="L528" s="122"/>
      <c r="M528" s="123"/>
      <c r="N528" s="48"/>
      <c r="O528" s="49"/>
      <c r="P528" s="49"/>
    </row>
    <row r="529" spans="1:16" ht="72" hidden="1">
      <c r="A529" s="37" t="s">
        <v>163</v>
      </c>
      <c r="B529" s="67">
        <v>5527</v>
      </c>
      <c r="C529" s="17"/>
      <c r="D529" s="23"/>
      <c r="E529" s="23"/>
      <c r="F529" s="17"/>
      <c r="G529" s="23"/>
      <c r="H529" s="23"/>
      <c r="I529" s="23"/>
      <c r="J529" s="23"/>
      <c r="K529" s="23"/>
      <c r="L529" s="122"/>
      <c r="M529" s="123"/>
      <c r="N529" s="48"/>
      <c r="O529" s="49"/>
      <c r="P529" s="49"/>
    </row>
    <row r="530" spans="1:16" ht="96" hidden="1">
      <c r="A530" s="37" t="s">
        <v>164</v>
      </c>
      <c r="B530" s="67">
        <v>5528</v>
      </c>
      <c r="C530" s="17"/>
      <c r="D530" s="23"/>
      <c r="E530" s="23"/>
      <c r="F530" s="17"/>
      <c r="G530" s="23"/>
      <c r="H530" s="23"/>
      <c r="I530" s="23"/>
      <c r="J530" s="23"/>
      <c r="K530" s="23"/>
      <c r="L530" s="122"/>
      <c r="M530" s="123"/>
      <c r="N530" s="48"/>
      <c r="O530" s="49"/>
      <c r="P530" s="49"/>
    </row>
    <row r="531" spans="1:16" ht="96" hidden="1">
      <c r="A531" s="37" t="s">
        <v>165</v>
      </c>
      <c r="B531" s="67">
        <v>5529</v>
      </c>
      <c r="C531" s="17"/>
      <c r="D531" s="23"/>
      <c r="E531" s="23"/>
      <c r="F531" s="17"/>
      <c r="G531" s="23"/>
      <c r="H531" s="23"/>
      <c r="I531" s="23"/>
      <c r="J531" s="23"/>
      <c r="K531" s="23"/>
      <c r="L531" s="122"/>
      <c r="M531" s="123"/>
      <c r="N531" s="48"/>
      <c r="O531" s="49">
        <f>2372.2</f>
        <v>2372.2</v>
      </c>
      <c r="P531" s="49">
        <f>2658.1</f>
        <v>2658.1</v>
      </c>
    </row>
    <row r="532" spans="1:16" ht="60" hidden="1">
      <c r="A532" s="37" t="s">
        <v>166</v>
      </c>
      <c r="B532" s="67">
        <v>5530</v>
      </c>
      <c r="C532" s="17"/>
      <c r="D532" s="23"/>
      <c r="E532" s="23"/>
      <c r="F532" s="17"/>
      <c r="G532" s="23"/>
      <c r="H532" s="23"/>
      <c r="I532" s="23"/>
      <c r="J532" s="23"/>
      <c r="K532" s="23"/>
      <c r="L532" s="122"/>
      <c r="M532" s="123"/>
      <c r="N532" s="48"/>
      <c r="O532" s="49"/>
      <c r="P532" s="49"/>
    </row>
    <row r="533" spans="1:16" ht="96" hidden="1">
      <c r="A533" s="37" t="s">
        <v>167</v>
      </c>
      <c r="B533" s="67">
        <v>5531</v>
      </c>
      <c r="C533" s="17"/>
      <c r="D533" s="23"/>
      <c r="E533" s="23"/>
      <c r="F533" s="17"/>
      <c r="G533" s="23"/>
      <c r="H533" s="23"/>
      <c r="I533" s="23"/>
      <c r="J533" s="23"/>
      <c r="K533" s="23"/>
      <c r="L533" s="122"/>
      <c r="M533" s="123"/>
      <c r="N533" s="48"/>
      <c r="O533" s="49"/>
      <c r="P533" s="49"/>
    </row>
    <row r="534" spans="1:16" ht="72" hidden="1">
      <c r="A534" s="37" t="s">
        <v>168</v>
      </c>
      <c r="B534" s="67">
        <v>5532</v>
      </c>
      <c r="C534" s="17"/>
      <c r="D534" s="23"/>
      <c r="E534" s="23"/>
      <c r="F534" s="17"/>
      <c r="G534" s="23"/>
      <c r="H534" s="23"/>
      <c r="I534" s="23"/>
      <c r="J534" s="23"/>
      <c r="K534" s="23"/>
      <c r="L534" s="122"/>
      <c r="M534" s="123"/>
      <c r="N534" s="48"/>
      <c r="O534" s="49"/>
      <c r="P534" s="49"/>
    </row>
    <row r="535" spans="1:16" ht="24" hidden="1">
      <c r="A535" s="37" t="s">
        <v>169</v>
      </c>
      <c r="B535" s="67">
        <v>5533</v>
      </c>
      <c r="C535" s="17"/>
      <c r="D535" s="23"/>
      <c r="E535" s="23"/>
      <c r="F535" s="17"/>
      <c r="G535" s="23"/>
      <c r="H535" s="23"/>
      <c r="I535" s="23"/>
      <c r="J535" s="23"/>
      <c r="K535" s="23"/>
      <c r="L535" s="122"/>
      <c r="M535" s="123"/>
      <c r="N535" s="48"/>
      <c r="O535" s="49"/>
      <c r="P535" s="49"/>
    </row>
    <row r="536" spans="1:16" ht="24" hidden="1">
      <c r="A536" s="37" t="s">
        <v>170</v>
      </c>
      <c r="B536" s="67">
        <v>5534</v>
      </c>
      <c r="C536" s="17"/>
      <c r="D536" s="23"/>
      <c r="E536" s="23"/>
      <c r="F536" s="17"/>
      <c r="G536" s="23"/>
      <c r="H536" s="23"/>
      <c r="I536" s="23"/>
      <c r="J536" s="23"/>
      <c r="K536" s="23"/>
      <c r="L536" s="122"/>
      <c r="M536" s="123"/>
      <c r="N536" s="48"/>
      <c r="O536" s="49"/>
      <c r="P536" s="49"/>
    </row>
    <row r="537" spans="1:16" ht="60" hidden="1">
      <c r="A537" s="37" t="s">
        <v>171</v>
      </c>
      <c r="B537" s="67">
        <v>5535</v>
      </c>
      <c r="C537" s="17"/>
      <c r="D537" s="23"/>
      <c r="E537" s="23"/>
      <c r="F537" s="17"/>
      <c r="G537" s="23"/>
      <c r="H537" s="23"/>
      <c r="I537" s="23"/>
      <c r="J537" s="23"/>
      <c r="K537" s="23"/>
      <c r="L537" s="122"/>
      <c r="M537" s="123"/>
      <c r="N537" s="48"/>
      <c r="O537" s="49"/>
      <c r="P537" s="49"/>
    </row>
    <row r="538" spans="1:16" ht="36" hidden="1">
      <c r="A538" s="37" t="s">
        <v>172</v>
      </c>
      <c r="B538" s="67">
        <v>5536</v>
      </c>
      <c r="C538" s="17"/>
      <c r="D538" s="23"/>
      <c r="E538" s="23"/>
      <c r="F538" s="17"/>
      <c r="G538" s="23"/>
      <c r="H538" s="23"/>
      <c r="I538" s="23"/>
      <c r="J538" s="23"/>
      <c r="K538" s="23"/>
      <c r="L538" s="122"/>
      <c r="M538" s="123"/>
      <c r="N538" s="48"/>
      <c r="O538" s="49"/>
      <c r="P538" s="49"/>
    </row>
    <row r="539" spans="1:16" ht="12" hidden="1">
      <c r="A539" s="37" t="s">
        <v>13</v>
      </c>
      <c r="B539" s="67">
        <v>5537</v>
      </c>
      <c r="C539" s="17"/>
      <c r="D539" s="23"/>
      <c r="E539" s="23"/>
      <c r="F539" s="17"/>
      <c r="G539" s="23"/>
      <c r="H539" s="23"/>
      <c r="I539" s="23"/>
      <c r="J539" s="23"/>
      <c r="K539" s="23"/>
      <c r="L539" s="122"/>
      <c r="M539" s="123"/>
      <c r="N539" s="48"/>
      <c r="O539" s="49"/>
      <c r="P539" s="49"/>
    </row>
    <row r="540" spans="1:16" ht="12" hidden="1">
      <c r="A540" s="37" t="s">
        <v>13</v>
      </c>
      <c r="B540" s="67">
        <v>5538</v>
      </c>
      <c r="C540" s="17"/>
      <c r="D540" s="23"/>
      <c r="E540" s="23"/>
      <c r="F540" s="17"/>
      <c r="G540" s="23"/>
      <c r="H540" s="23"/>
      <c r="I540" s="23"/>
      <c r="J540" s="23"/>
      <c r="K540" s="23"/>
      <c r="L540" s="122"/>
      <c r="M540" s="123"/>
      <c r="N540" s="48"/>
      <c r="O540" s="49"/>
      <c r="P540" s="49"/>
    </row>
    <row r="541" spans="1:16" ht="48" hidden="1">
      <c r="A541" s="25" t="s">
        <v>292</v>
      </c>
      <c r="B541" s="68">
        <v>5600</v>
      </c>
      <c r="C541" s="57" t="s">
        <v>12</v>
      </c>
      <c r="D541" s="58" t="s">
        <v>12</v>
      </c>
      <c r="E541" s="58" t="s">
        <v>12</v>
      </c>
      <c r="F541" s="57" t="s">
        <v>12</v>
      </c>
      <c r="G541" s="58" t="s">
        <v>12</v>
      </c>
      <c r="H541" s="58" t="s">
        <v>12</v>
      </c>
      <c r="I541" s="58"/>
      <c r="J541" s="58"/>
      <c r="K541" s="58"/>
      <c r="L541" s="124" t="s">
        <v>12</v>
      </c>
      <c r="M541" s="125" t="s">
        <v>12</v>
      </c>
      <c r="N541" s="50"/>
      <c r="O541" s="51">
        <f>SUM(O542:O543)</f>
        <v>0</v>
      </c>
      <c r="P541" s="51">
        <f>SUM(P542:P543)</f>
        <v>0</v>
      </c>
    </row>
    <row r="542" spans="1:16" ht="12" hidden="1">
      <c r="A542" s="37" t="s">
        <v>13</v>
      </c>
      <c r="B542" s="67">
        <v>5601</v>
      </c>
      <c r="C542" s="17"/>
      <c r="D542" s="23"/>
      <c r="E542" s="23"/>
      <c r="F542" s="17"/>
      <c r="G542" s="23"/>
      <c r="H542" s="23"/>
      <c r="I542" s="23"/>
      <c r="J542" s="23"/>
      <c r="K542" s="23"/>
      <c r="L542" s="122"/>
      <c r="M542" s="123"/>
      <c r="N542" s="48"/>
      <c r="O542" s="49"/>
      <c r="P542" s="49"/>
    </row>
    <row r="543" spans="1:16" ht="12" hidden="1">
      <c r="A543" s="37" t="s">
        <v>13</v>
      </c>
      <c r="B543" s="67">
        <v>5602</v>
      </c>
      <c r="C543" s="17"/>
      <c r="D543" s="23"/>
      <c r="E543" s="23"/>
      <c r="F543" s="17"/>
      <c r="G543" s="23"/>
      <c r="H543" s="23"/>
      <c r="I543" s="23"/>
      <c r="J543" s="23"/>
      <c r="K543" s="23"/>
      <c r="L543" s="122"/>
      <c r="M543" s="123"/>
      <c r="N543" s="48"/>
      <c r="O543" s="49"/>
      <c r="P543" s="49"/>
    </row>
    <row r="544" spans="1:16" ht="108" hidden="1">
      <c r="A544" s="25" t="s">
        <v>37</v>
      </c>
      <c r="B544" s="68">
        <v>5700</v>
      </c>
      <c r="C544" s="57" t="s">
        <v>12</v>
      </c>
      <c r="D544" s="58" t="s">
        <v>12</v>
      </c>
      <c r="E544" s="58" t="s">
        <v>12</v>
      </c>
      <c r="F544" s="57" t="s">
        <v>12</v>
      </c>
      <c r="G544" s="58" t="s">
        <v>12</v>
      </c>
      <c r="H544" s="58" t="s">
        <v>12</v>
      </c>
      <c r="I544" s="58"/>
      <c r="J544" s="58"/>
      <c r="K544" s="58"/>
      <c r="L544" s="124" t="s">
        <v>12</v>
      </c>
      <c r="M544" s="125" t="s">
        <v>12</v>
      </c>
      <c r="N544" s="50"/>
      <c r="O544" s="51">
        <f>O545+O550</f>
        <v>93988.79999999999</v>
      </c>
      <c r="P544" s="51">
        <f>P545+P550</f>
        <v>49004.700000000004</v>
      </c>
    </row>
    <row r="545" spans="1:16" ht="12" hidden="1">
      <c r="A545" s="25" t="s">
        <v>38</v>
      </c>
      <c r="B545" s="68">
        <v>5701</v>
      </c>
      <c r="C545" s="57" t="s">
        <v>12</v>
      </c>
      <c r="D545" s="58" t="s">
        <v>12</v>
      </c>
      <c r="E545" s="58" t="s">
        <v>12</v>
      </c>
      <c r="F545" s="57" t="s">
        <v>12</v>
      </c>
      <c r="G545" s="58" t="s">
        <v>12</v>
      </c>
      <c r="H545" s="58" t="s">
        <v>12</v>
      </c>
      <c r="I545" s="58"/>
      <c r="J545" s="58"/>
      <c r="K545" s="58"/>
      <c r="L545" s="124" t="s">
        <v>12</v>
      </c>
      <c r="M545" s="125" t="s">
        <v>12</v>
      </c>
      <c r="N545" s="50"/>
      <c r="O545" s="51">
        <f>O546+O547</f>
        <v>0</v>
      </c>
      <c r="P545" s="51">
        <f>P546+P547</f>
        <v>0</v>
      </c>
    </row>
    <row r="546" spans="1:16" ht="24" hidden="1">
      <c r="A546" s="25" t="s">
        <v>39</v>
      </c>
      <c r="B546" s="67">
        <v>5702</v>
      </c>
      <c r="C546" s="17"/>
      <c r="D546" s="23"/>
      <c r="E546" s="23"/>
      <c r="F546" s="17"/>
      <c r="G546" s="23"/>
      <c r="H546" s="23"/>
      <c r="I546" s="23"/>
      <c r="J546" s="23"/>
      <c r="K546" s="23"/>
      <c r="L546" s="122"/>
      <c r="M546" s="123"/>
      <c r="N546" s="48"/>
      <c r="O546" s="49"/>
      <c r="P546" s="49"/>
    </row>
    <row r="547" spans="1:16" ht="48" hidden="1">
      <c r="A547" s="25" t="s">
        <v>293</v>
      </c>
      <c r="B547" s="68">
        <v>5703</v>
      </c>
      <c r="C547" s="57" t="s">
        <v>12</v>
      </c>
      <c r="D547" s="58" t="s">
        <v>12</v>
      </c>
      <c r="E547" s="58" t="s">
        <v>12</v>
      </c>
      <c r="F547" s="57" t="s">
        <v>12</v>
      </c>
      <c r="G547" s="58" t="s">
        <v>12</v>
      </c>
      <c r="H547" s="58" t="s">
        <v>12</v>
      </c>
      <c r="I547" s="58"/>
      <c r="J547" s="58"/>
      <c r="K547" s="58"/>
      <c r="L547" s="124" t="s">
        <v>12</v>
      </c>
      <c r="M547" s="125" t="s">
        <v>12</v>
      </c>
      <c r="N547" s="50"/>
      <c r="O547" s="51">
        <f>SUM(O548:O549)</f>
        <v>0</v>
      </c>
      <c r="P547" s="51">
        <f>SUM(P548:P549)</f>
        <v>0</v>
      </c>
    </row>
    <row r="548" spans="1:16" ht="12" hidden="1">
      <c r="A548" s="37" t="s">
        <v>13</v>
      </c>
      <c r="B548" s="67">
        <v>5704</v>
      </c>
      <c r="C548" s="17"/>
      <c r="D548" s="23"/>
      <c r="E548" s="23"/>
      <c r="F548" s="17"/>
      <c r="G548" s="23"/>
      <c r="H548" s="23"/>
      <c r="I548" s="23"/>
      <c r="J548" s="23"/>
      <c r="K548" s="23"/>
      <c r="L548" s="122"/>
      <c r="M548" s="123"/>
      <c r="N548" s="48"/>
      <c r="O548" s="49"/>
      <c r="P548" s="49"/>
    </row>
    <row r="549" spans="1:16" ht="12" hidden="1">
      <c r="A549" s="37" t="s">
        <v>13</v>
      </c>
      <c r="B549" s="67">
        <v>5705</v>
      </c>
      <c r="C549" s="17"/>
      <c r="D549" s="23"/>
      <c r="E549" s="23"/>
      <c r="F549" s="17"/>
      <c r="G549" s="23"/>
      <c r="H549" s="23"/>
      <c r="I549" s="23"/>
      <c r="J549" s="23"/>
      <c r="K549" s="23"/>
      <c r="L549" s="122"/>
      <c r="M549" s="123"/>
      <c r="N549" s="48"/>
      <c r="O549" s="49"/>
      <c r="P549" s="49"/>
    </row>
    <row r="550" spans="1:16" ht="24" hidden="1">
      <c r="A550" s="25" t="s">
        <v>40</v>
      </c>
      <c r="B550" s="68">
        <v>5800</v>
      </c>
      <c r="C550" s="57" t="s">
        <v>12</v>
      </c>
      <c r="D550" s="58" t="s">
        <v>12</v>
      </c>
      <c r="E550" s="58" t="s">
        <v>12</v>
      </c>
      <c r="F550" s="57" t="s">
        <v>12</v>
      </c>
      <c r="G550" s="58" t="s">
        <v>12</v>
      </c>
      <c r="H550" s="58" t="s">
        <v>12</v>
      </c>
      <c r="I550" s="58"/>
      <c r="J550" s="58"/>
      <c r="K550" s="58"/>
      <c r="L550" s="124" t="s">
        <v>12</v>
      </c>
      <c r="M550" s="125" t="s">
        <v>12</v>
      </c>
      <c r="N550" s="50"/>
      <c r="O550" s="51">
        <f>O551+O561</f>
        <v>93988.79999999999</v>
      </c>
      <c r="P550" s="51">
        <f>P551+P561</f>
        <v>49004.700000000004</v>
      </c>
    </row>
    <row r="551" spans="1:16" ht="96" hidden="1">
      <c r="A551" s="25" t="s">
        <v>294</v>
      </c>
      <c r="B551" s="68">
        <v>5801</v>
      </c>
      <c r="C551" s="57" t="s">
        <v>12</v>
      </c>
      <c r="D551" s="58" t="s">
        <v>12</v>
      </c>
      <c r="E551" s="58" t="s">
        <v>12</v>
      </c>
      <c r="F551" s="57" t="s">
        <v>12</v>
      </c>
      <c r="G551" s="58" t="s">
        <v>12</v>
      </c>
      <c r="H551" s="58" t="s">
        <v>12</v>
      </c>
      <c r="I551" s="58"/>
      <c r="J551" s="58"/>
      <c r="K551" s="58"/>
      <c r="L551" s="124" t="s">
        <v>12</v>
      </c>
      <c r="M551" s="125" t="s">
        <v>12</v>
      </c>
      <c r="N551" s="50"/>
      <c r="O551" s="51">
        <f>SUM(O552:O560)</f>
        <v>93988.79999999999</v>
      </c>
      <c r="P551" s="51">
        <f>SUM(P552:P560)</f>
        <v>49004.700000000004</v>
      </c>
    </row>
    <row r="552" spans="1:16" ht="72" hidden="1">
      <c r="A552" s="37" t="s">
        <v>257</v>
      </c>
      <c r="B552" s="67">
        <v>5802</v>
      </c>
      <c r="C552" s="12" t="s">
        <v>635</v>
      </c>
      <c r="D552" s="9" t="s">
        <v>690</v>
      </c>
      <c r="E552" s="9" t="s">
        <v>686</v>
      </c>
      <c r="F552" s="17"/>
      <c r="G552" s="23"/>
      <c r="H552" s="23"/>
      <c r="I552" s="23"/>
      <c r="J552" s="23"/>
      <c r="K552" s="23"/>
      <c r="L552" s="122" t="s">
        <v>303</v>
      </c>
      <c r="M552" s="123" t="s">
        <v>300</v>
      </c>
      <c r="N552" s="27"/>
      <c r="O552" s="49">
        <f>2557.4+4721.5</f>
        <v>7278.9</v>
      </c>
      <c r="P552" s="49">
        <f>2867.2+4706.4</f>
        <v>7573.599999999999</v>
      </c>
    </row>
    <row r="553" spans="1:16" ht="108" hidden="1">
      <c r="A553" s="37" t="s">
        <v>259</v>
      </c>
      <c r="B553" s="67">
        <v>5803</v>
      </c>
      <c r="C553" s="12" t="s">
        <v>691</v>
      </c>
      <c r="D553" s="9" t="s">
        <v>692</v>
      </c>
      <c r="E553" s="9" t="s">
        <v>666</v>
      </c>
      <c r="F553" s="17"/>
      <c r="G553" s="23"/>
      <c r="H553" s="23"/>
      <c r="I553" s="23"/>
      <c r="J553" s="23"/>
      <c r="K553" s="23"/>
      <c r="L553" s="122" t="s">
        <v>303</v>
      </c>
      <c r="M553" s="123" t="s">
        <v>300</v>
      </c>
      <c r="N553" s="27"/>
      <c r="O553" s="49">
        <f>338.5+1161.4+60-60</f>
        <v>1499.9</v>
      </c>
      <c r="P553" s="49">
        <f>492+1152.5</f>
        <v>1644.5</v>
      </c>
    </row>
    <row r="554" spans="1:16" ht="72" hidden="1">
      <c r="A554" s="37" t="s">
        <v>81</v>
      </c>
      <c r="B554" s="67">
        <v>5804</v>
      </c>
      <c r="C554" s="12" t="s">
        <v>635</v>
      </c>
      <c r="D554" s="9" t="s">
        <v>690</v>
      </c>
      <c r="E554" s="9" t="s">
        <v>686</v>
      </c>
      <c r="F554" s="17"/>
      <c r="G554" s="23"/>
      <c r="H554" s="23"/>
      <c r="I554" s="23"/>
      <c r="J554" s="23"/>
      <c r="K554" s="23"/>
      <c r="L554" s="122" t="s">
        <v>727</v>
      </c>
      <c r="M554" s="123" t="s">
        <v>728</v>
      </c>
      <c r="N554" s="27"/>
      <c r="O554" s="49">
        <f>401+465+2504.4+305.4+177.3+58452.3-1006.8+60+465+88.4-80.3-177.3</f>
        <v>61654.399999999994</v>
      </c>
      <c r="P554" s="49">
        <f>442.7+485.3+7796.1</f>
        <v>8724.1</v>
      </c>
    </row>
    <row r="555" spans="1:16" ht="168" hidden="1">
      <c r="A555" s="37" t="s">
        <v>271</v>
      </c>
      <c r="B555" s="67">
        <v>5805</v>
      </c>
      <c r="C555" s="12" t="s">
        <v>722</v>
      </c>
      <c r="D555" s="9" t="s">
        <v>724</v>
      </c>
      <c r="E555" s="9" t="s">
        <v>723</v>
      </c>
      <c r="F555" s="17" t="s">
        <v>696</v>
      </c>
      <c r="G555" s="23" t="s">
        <v>605</v>
      </c>
      <c r="H555" s="9" t="s">
        <v>697</v>
      </c>
      <c r="I555" s="9"/>
      <c r="J555" s="9"/>
      <c r="K555" s="9"/>
      <c r="L555" s="122" t="s">
        <v>725</v>
      </c>
      <c r="M555" s="123" t="s">
        <v>726</v>
      </c>
      <c r="N555" s="27"/>
      <c r="O555" s="49">
        <f>465+8190.7+1706.6+80+144+201.9+100.6-465-80-144+64+128+32</f>
        <v>10423.800000000001</v>
      </c>
      <c r="P555" s="49">
        <f>6518+764+192+192</f>
        <v>7666</v>
      </c>
    </row>
    <row r="556" spans="1:16" ht="96" hidden="1">
      <c r="A556" s="37" t="s">
        <v>276</v>
      </c>
      <c r="B556" s="67">
        <v>5806</v>
      </c>
      <c r="C556" s="12" t="s">
        <v>693</v>
      </c>
      <c r="D556" s="9" t="s">
        <v>694</v>
      </c>
      <c r="E556" s="9" t="s">
        <v>695</v>
      </c>
      <c r="F556" s="17"/>
      <c r="G556" s="23"/>
      <c r="H556" s="23"/>
      <c r="I556" s="23"/>
      <c r="J556" s="23"/>
      <c r="K556" s="23"/>
      <c r="L556" s="122" t="s">
        <v>303</v>
      </c>
      <c r="M556" s="123" t="s">
        <v>300</v>
      </c>
      <c r="N556" s="27"/>
      <c r="O556" s="49">
        <f>738.4</f>
        <v>738.4</v>
      </c>
      <c r="P556" s="49">
        <f>738.4</f>
        <v>738.4</v>
      </c>
    </row>
    <row r="557" spans="1:16" ht="60" hidden="1">
      <c r="A557" s="37" t="s">
        <v>262</v>
      </c>
      <c r="B557" s="67">
        <v>5807</v>
      </c>
      <c r="C557" s="12" t="s">
        <v>729</v>
      </c>
      <c r="D557" s="9" t="s">
        <v>730</v>
      </c>
      <c r="E557" s="9" t="s">
        <v>411</v>
      </c>
      <c r="F557" s="17"/>
      <c r="G557" s="23"/>
      <c r="H557" s="23"/>
      <c r="I557" s="23"/>
      <c r="J557" s="23"/>
      <c r="K557" s="23"/>
      <c r="L557" s="122" t="s">
        <v>299</v>
      </c>
      <c r="M557" s="123" t="s">
        <v>303</v>
      </c>
      <c r="N557" s="27"/>
      <c r="O557" s="49">
        <f>4709.5+80.3</f>
        <v>4789.8</v>
      </c>
      <c r="P557" s="49">
        <f>8546.2</f>
        <v>8546.2</v>
      </c>
    </row>
    <row r="558" spans="1:16" ht="192" hidden="1">
      <c r="A558" s="37" t="s">
        <v>270</v>
      </c>
      <c r="B558" s="67">
        <v>5808</v>
      </c>
      <c r="C558" s="12" t="s">
        <v>729</v>
      </c>
      <c r="D558" s="9" t="s">
        <v>730</v>
      </c>
      <c r="E558" s="9" t="s">
        <v>411</v>
      </c>
      <c r="F558" s="17"/>
      <c r="G558" s="23"/>
      <c r="H558" s="23"/>
      <c r="I558" s="23"/>
      <c r="J558" s="23"/>
      <c r="K558" s="23"/>
      <c r="L558" s="122" t="s">
        <v>300</v>
      </c>
      <c r="M558" s="123" t="s">
        <v>311</v>
      </c>
      <c r="N558" s="27"/>
      <c r="O558" s="49">
        <f>74.2+215+2147.4+1100-74.2</f>
        <v>3462.4</v>
      </c>
      <c r="P558" s="49">
        <f>13157.9</f>
        <v>13157.9</v>
      </c>
    </row>
    <row r="559" spans="1:16" ht="60" hidden="1">
      <c r="A559" s="37" t="s">
        <v>238</v>
      </c>
      <c r="B559" s="67">
        <v>5809</v>
      </c>
      <c r="C559" s="12" t="s">
        <v>635</v>
      </c>
      <c r="D559" s="9" t="s">
        <v>690</v>
      </c>
      <c r="E559" s="9" t="s">
        <v>686</v>
      </c>
      <c r="F559" s="17"/>
      <c r="G559" s="23"/>
      <c r="H559" s="23"/>
      <c r="I559" s="23"/>
      <c r="J559" s="23"/>
      <c r="K559" s="23"/>
      <c r="L559" s="122" t="s">
        <v>710</v>
      </c>
      <c r="M559" s="123" t="s">
        <v>711</v>
      </c>
      <c r="N559" s="27"/>
      <c r="O559" s="49">
        <f>2971.3+80.6+926.2-2971.3-926.2+2714.9+212.5+929.2+26.7</f>
        <v>3963.8999999999996</v>
      </c>
      <c r="P559" s="49">
        <f>954</f>
        <v>954</v>
      </c>
    </row>
    <row r="560" spans="1:16" ht="288" hidden="1">
      <c r="A560" s="37" t="s">
        <v>332</v>
      </c>
      <c r="B560" s="67">
        <v>5810</v>
      </c>
      <c r="C560" s="9" t="s">
        <v>399</v>
      </c>
      <c r="D560" s="9" t="s">
        <v>425</v>
      </c>
      <c r="E560" s="9" t="s">
        <v>358</v>
      </c>
      <c r="F560" s="9"/>
      <c r="G560" s="9"/>
      <c r="H560" s="9"/>
      <c r="I560" s="9"/>
      <c r="J560" s="9"/>
      <c r="K560" s="9"/>
      <c r="L560" s="122" t="s">
        <v>344</v>
      </c>
      <c r="M560" s="123" t="s">
        <v>345</v>
      </c>
      <c r="N560" s="27"/>
      <c r="O560" s="49">
        <f>174.4+2.9</f>
        <v>177.3</v>
      </c>
      <c r="P560" s="49">
        <v>0</v>
      </c>
    </row>
    <row r="561" spans="1:16" ht="36" hidden="1">
      <c r="A561" s="25" t="s">
        <v>295</v>
      </c>
      <c r="B561" s="68">
        <v>5900</v>
      </c>
      <c r="C561" s="57" t="s">
        <v>12</v>
      </c>
      <c r="D561" s="58" t="s">
        <v>12</v>
      </c>
      <c r="E561" s="58" t="s">
        <v>12</v>
      </c>
      <c r="F561" s="57" t="s">
        <v>12</v>
      </c>
      <c r="G561" s="58" t="s">
        <v>12</v>
      </c>
      <c r="H561" s="58" t="s">
        <v>12</v>
      </c>
      <c r="I561" s="58"/>
      <c r="J561" s="58"/>
      <c r="K561" s="58"/>
      <c r="L561" s="124" t="s">
        <v>12</v>
      </c>
      <c r="M561" s="125" t="s">
        <v>12</v>
      </c>
      <c r="N561" s="50"/>
      <c r="O561" s="51">
        <f>SUM(O562:O563)</f>
        <v>0</v>
      </c>
      <c r="P561" s="51">
        <f>SUM(P562:P563)</f>
        <v>0</v>
      </c>
    </row>
    <row r="562" spans="1:16" ht="12" hidden="1">
      <c r="A562" s="37" t="s">
        <v>13</v>
      </c>
      <c r="B562" s="67">
        <v>5901</v>
      </c>
      <c r="C562" s="17"/>
      <c r="D562" s="23"/>
      <c r="E562" s="23"/>
      <c r="F562" s="17"/>
      <c r="G562" s="23"/>
      <c r="H562" s="23"/>
      <c r="I562" s="23"/>
      <c r="J562" s="23"/>
      <c r="K562" s="23"/>
      <c r="L562" s="122"/>
      <c r="M562" s="123"/>
      <c r="N562" s="48"/>
      <c r="O562" s="49"/>
      <c r="P562" s="49"/>
    </row>
    <row r="563" spans="1:16" ht="12" hidden="1">
      <c r="A563" s="37" t="s">
        <v>13</v>
      </c>
      <c r="B563" s="67">
        <v>5902</v>
      </c>
      <c r="C563" s="17"/>
      <c r="D563" s="23"/>
      <c r="E563" s="23"/>
      <c r="F563" s="17"/>
      <c r="G563" s="23"/>
      <c r="H563" s="23"/>
      <c r="I563" s="23"/>
      <c r="J563" s="23"/>
      <c r="K563" s="23"/>
      <c r="L563" s="122"/>
      <c r="M563" s="123"/>
      <c r="N563" s="48"/>
      <c r="O563" s="49"/>
      <c r="P563" s="49"/>
    </row>
    <row r="564" spans="1:16" ht="24" hidden="1">
      <c r="A564" s="37" t="s">
        <v>0</v>
      </c>
      <c r="B564" s="68">
        <v>8000</v>
      </c>
      <c r="C564" s="57" t="s">
        <v>12</v>
      </c>
      <c r="D564" s="58" t="s">
        <v>12</v>
      </c>
      <c r="E564" s="58" t="s">
        <v>12</v>
      </c>
      <c r="F564" s="57" t="s">
        <v>12</v>
      </c>
      <c r="G564" s="58" t="s">
        <v>12</v>
      </c>
      <c r="H564" s="58" t="s">
        <v>12</v>
      </c>
      <c r="I564" s="58"/>
      <c r="J564" s="58"/>
      <c r="K564" s="58"/>
      <c r="L564" s="124" t="s">
        <v>12</v>
      </c>
      <c r="M564" s="125" t="s">
        <v>12</v>
      </c>
      <c r="N564" s="50"/>
      <c r="O564" s="51">
        <f>O7+O148+O281+O419</f>
        <v>994954.2420000001</v>
      </c>
      <c r="P564" s="51">
        <f>P7+P148+P281+P419</f>
        <v>723084.6000000001</v>
      </c>
    </row>
    <row r="566" ht="12" hidden="1">
      <c r="A566" s="38" t="s">
        <v>720</v>
      </c>
    </row>
    <row r="567" ht="12" hidden="1">
      <c r="A567" s="38" t="s">
        <v>721</v>
      </c>
    </row>
    <row r="568" spans="1:19" s="128" customFormat="1" ht="15">
      <c r="A568" s="127" t="s">
        <v>925</v>
      </c>
      <c r="L568" s="129"/>
      <c r="M568" s="129"/>
      <c r="N568" s="130"/>
      <c r="O568" s="130"/>
      <c r="P568" s="130"/>
      <c r="Q568" s="130"/>
      <c r="R568" s="130"/>
      <c r="S568" s="130"/>
    </row>
    <row r="569" spans="1:19" s="128" customFormat="1" ht="15">
      <c r="A569" s="127" t="s">
        <v>926</v>
      </c>
      <c r="F569" s="128" t="s">
        <v>927</v>
      </c>
      <c r="L569" s="129"/>
      <c r="M569" s="129"/>
      <c r="N569" s="130"/>
      <c r="O569" s="130"/>
      <c r="P569" s="130"/>
      <c r="Q569" s="130"/>
      <c r="R569" s="130"/>
      <c r="S569" s="130"/>
    </row>
    <row r="571" spans="1:6" ht="15">
      <c r="A571" s="127" t="s">
        <v>1044</v>
      </c>
      <c r="B571" s="128"/>
      <c r="C571" s="128"/>
      <c r="D571" s="128"/>
      <c r="E571" s="128"/>
      <c r="F571" s="128" t="s">
        <v>1045</v>
      </c>
    </row>
  </sheetData>
  <sheetProtection/>
  <mergeCells count="11">
    <mergeCell ref="I4:K4"/>
    <mergeCell ref="N4:O4"/>
    <mergeCell ref="R4:S4"/>
    <mergeCell ref="A1:P1"/>
    <mergeCell ref="A3:A5"/>
    <mergeCell ref="B3:B5"/>
    <mergeCell ref="C3:H3"/>
    <mergeCell ref="L3:M4"/>
    <mergeCell ref="N3:S3"/>
    <mergeCell ref="C4:E4"/>
    <mergeCell ref="F4:H4"/>
  </mergeCells>
  <printOptions/>
  <pageMargins left="0" right="0" top="0" bottom="0"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feu17-05</cp:lastModifiedBy>
  <cp:lastPrinted>2016-05-26T09:00:24Z</cp:lastPrinted>
  <dcterms:created xsi:type="dcterms:W3CDTF">2014-06-02T07:27:05Z</dcterms:created>
  <dcterms:modified xsi:type="dcterms:W3CDTF">2017-03-20T11:45:33Z</dcterms:modified>
  <cp:category/>
  <cp:version/>
  <cp:contentType/>
  <cp:contentStatus/>
</cp:coreProperties>
</file>